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2" name="_xlnm.Print_Titles" vbProcedure="false">Roadmap!$1:$5</definedName>
    <definedName function="false" hidden="false" localSheetId="1" name="_xlnm.Print_Area" vbProcedure="false">Status!$B$1:$H$85</definedName>
    <definedName function="false" hidden="false" localSheetId="1" name="_xlnm.Print_Titles" vbProcedure="false">Status!$1:$5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Tasks!$GY$5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v_Twice" vbProcedure="false">LeaveDays[Also Typed Above]</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"2.0"</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akeBaseline" vbProcedure="false">Settings!$C$41</definedName>
    <definedName function="false" hidden="false" name="TemplateVersion" vbProcedure="false">"1.0"</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Days on this row that are also in the person's month cell above: they count twice. Clear one.</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-16</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60" authorId="0">
      <text>
        <r>
          <rPr>
            <sz val="10"/>
            <rFont val="Arial"/>
            <family val="2"/>
          </rPr>
          <t xml:space="preserve">The person's month cell as ",16,17,(0.5),": each day between commas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<sst xmlns="http://schemas.openxmlformats.org/spreadsheetml/2006/main" count="887" uniqueCount="741">
  <si>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</si>
  <si>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</si>
  <si>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</si>
  <si>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</si>
  <si>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</si>
  <si>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</si>
  <si>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</si>
  <si>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</si>
  <si>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</si>
  <si>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</si>
  <si>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</si>
  <si>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</si>
  <si>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</si>
  <si>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</si>
  <si>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</si>
  <si>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</si>
  <si>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</si>
  <si>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</si>
  <si>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</si>
  <si>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</si>
  <si>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</si>
  <si>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</si>
  <si>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</si>
  <si>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</si>
  <si>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</si>
  <si>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</si>
  <si>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</si>
  <si>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</si>
  <si>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</si>
  <si>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</si>
  <si>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</si>
  <si>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</si>
  <si>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</si>
  <si>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</si>
  <si>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</si>
  <si>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</si>
  <si>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</si>
  <si>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</si>
  <si>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</si>
  <si>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</si>
  <si>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</si>
  <si>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</si>
  <si>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</si>
  <si>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</si>
  <si>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</si>
  <si>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</si>
  <si>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</si>
  <si>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</si>
  <si>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</si>
  <si>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</si>
  <si>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</si>
  <si>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</si>
  <si>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</si>
  <si>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</si>
  <si>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</si>
  <si>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</si>
  <si>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</si>
  <si>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</si>
  <si>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</si>
  <si>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</si>
  <si>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</si>
  <si>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</si>
  <si>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</si>
  <si>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</si>
  <si>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</si>
  <si>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</si>
  <si>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</si>
  <si>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</si>
  <si>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</si>
  <si>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</si>
  <si>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</si>
  <si>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</si>
  <si>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</si>
  <si>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</si>
  <si>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</si>
  <si>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</si>
  <si>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</si>
  <si>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</si>
  <si>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</si>
  <si>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</si>
  <si>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</si>
  <si>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</si>
  <si>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</si>
  <si>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</si>
  <si>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</si>
  <si>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</si>
  <si>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</si>
  <si>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</si>
  <si>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</si>
  <si>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</si>
  <si>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</si>
  <si>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</si>
  <si>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</si>
  <si>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</si>
  <si>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</si>
  <si>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</si>
  <si>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</si>
  <si>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</si>
  <si>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</si>
  <si>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</si>
  <si>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</si>
  <si>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</si>
  <si>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</si>
  <si>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</si>
  <si>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</si>
  <si>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</si>
  <si>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</si>
  <si>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</si>
  <si>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</si>
  <si>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</si>
  <si>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</si>
  <si>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</si>
  <si>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</si>
  <si>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</si>
  <si>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</si>
  <si>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</si>
  <si>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</si>
  <si>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</si>
  <si>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</si>
  <si>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</si>
  <si>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</si>
  <si>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</si>
  <si>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</si>
  <si>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</si>
  <si>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</si>
  <si>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</si>
  <si>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</si>
  <si>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</si>
  <si>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</si>
  <si>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</si>
  <si>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</si>
  <si>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</si>
  <si>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</si>
  <si>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</si>
  <si>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</si>
  <si>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</si>
  <si>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</si>
  <si>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</si>
  <si>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</si>
  <si>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</si>
  <si>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</si>
  <si>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</si>
  <si>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</si>
  <si>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</si>
  <si>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</si>
  <si>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</si>
  <si>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</si>
  <si>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</si>
  <si>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</si>
  <si>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</si>
  <si>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</si>
  <si>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</si>
  <si>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</si>
  <si>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</si>
  <si>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</si>
  <si>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</si>
  <si>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</si>
  <si>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</si>
  <si>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</si>
  <si>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</si>
  <si>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</si>
  <si>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</si>
  <si>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</si>
  <si>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</si>
  <si>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</si>
  <si>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</si>
  <si>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</si>
  <si>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</si>
  <si>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</si>
  <si>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</si>
  <si>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</si>
  <si>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</si>
  <si>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</si>
  <si>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</si>
  <si>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</si>
  <si>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</si>
  <si>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</si>
  <si>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</si>
  <si>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</si>
  <si>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</si>
  <si>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</si>
  <si>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</si>
  <si>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</si>
  <si>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</si>
  <si>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</si>
  <si>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</si>
  <si>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</si>
  <si>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</si>
  <si>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</si>
  <si>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</si>
  <si>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</si>
  <si>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</si>
  <si>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</si>
  <si>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</si>
  <si>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</si>
  <si>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</si>
  <si>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</si>
  <si>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</si>
  <si>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</si>
  <si>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</si>
  <si>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</si>
  <si>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</si>
  <si>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</si>
  <si>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</si>
  <si>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</si>
  <si>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</si>
  <si>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</si>
  <si>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</si>
  <si>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</si>
  <si>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</si>
  <si>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</si>
  <si>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</si>
  <si>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</si>
  <si>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</si>
  <si>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</si>
  <si>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</si>
  <si>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</si>
  <si>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</si>
  <si>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</si>
  <si>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</si>
  <si>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</si>
  <si>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</si>
  <si>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</si>
  <si>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</si>
  <si>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</si>
  <si>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</si>
  <si>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</si>
  <si>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</si>
  <si>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</si>
  <si>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</si>
  <si>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</si>
  <si>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</si>
  <si>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</si>
  <si>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</si>
  <si>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</si>
  <si>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</si>
  <si>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</si>
  <si>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</si>
  <si>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</si>
  <si>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</si>
  <si>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</si>
  <si>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</si>
  <si>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</si>
  <si>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</si>
  <si>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</si>
  <si>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</si>
  <si>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</si>
  <si>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</si>
  <si>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</si>
  <si>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</si>
  <si>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</si>
  <si>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</si>
  <si>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</si>
  <si>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</si>
  <si>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</si>
  <si>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</si>
  <si>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</si>
  <si>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</si>
  <si>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</si>
  <si>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</si>
  <si>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</si>
  <si>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</si>
  <si>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</si>
  <si>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</si>
  <si>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</si>
  <si>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</si>
  <si>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</si>
  <si>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</si>
  <si>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</si>
  <si>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</si>
  <si>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</si>
  <si>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</si>
  <si>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</si>
  <si>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</si>
  <si>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</si>
  <si>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</si>
  <si>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</si>
  <si>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</si>
  <si>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</si>
  <si>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</si>
  <si>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</si>
  <si>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</si>
  <si>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</si>
  <si>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</si>
  <si>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</si>
  <si>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</si>
  <si>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</si>
  <si>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</si>
  <si>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</si>
  <si>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</si>
  <si>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</si>
  <si>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</si>
  <si>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</si>
  <si>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</si>
  <si>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</si>
  <si>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</si>
  <si>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</si>
  <si>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</si>
  <si>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</si>
  <si>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</si>
  <si>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</si>
  <si>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</si>
  <si>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</si>
  <si>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</si>
  <si>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</si>
  <si>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</si>
  <si>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</si>
  <si>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</si>
  <si>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</si>
  <si>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</si>
  <si>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</si>
  <si>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</si>
  <si>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</si>
  <si>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</si>
  <si>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</si>
  <si>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</si>
  <si>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</si>
  <si>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</si>
  <si>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</si>
  <si>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</si>
  <si>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</si>
  <si>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</si>
  <si>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</si>
  <si>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</si>
  <si>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</si>
  <si>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</si>
  <si>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</si>
  <si>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</si>
  <si>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</si>
  <si>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</si>
  <si>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</si>
  <si>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</si>
  <si>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</si>
  <si>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</si>
  <si>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</si>
  <si>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</si>
  <si>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</si>
  <si>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</si>
  <si>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</si>
  <si>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</si>
  <si>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</si>
  <si>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</si>
  <si>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</si>
  <si>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</si>
  <si>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</si>
  <si>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</si>
  <si>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</si>
  <si>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</si>
  <si>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</si>
  <si>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</si>
  <si>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</si>
  <si>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</si>
  <si>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</si>
  <si>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</si>
  <si>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</si>
  <si>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</si>
  <si>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</si>
  <si>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</si>
  <si>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</si>
  <si>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</si>
  <si>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</si>
  <si>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</si>
  <si>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</si>
  <si>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</si>
  <si>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</si>
  <si>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</si>
  <si>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</si>
  <si>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</si>
  <si>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</si>
  <si>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</si>
  <si>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</si>
  <si>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</si>
  <si>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</si>
  <si>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</si>
  <si>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</si>
  <si>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</si>
  <si>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</si>
  <si>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</si>
  <si>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</si>
  <si>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</si>
  <si>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</si>
  <si>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</si>
  <si>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</si>
  <si>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</si>
  <si>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</si>
  <si>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</si>
  <si>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</si>
  <si>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</si>
  <si>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</si>
  <si>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</si>
  <si>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</si>
  <si>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</si>
  <si>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</si>
  <si>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</si>
  <si>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</si>
  <si>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</si>
  <si>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</si>
  <si>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</si>
  <si>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</si>
  <si>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</si>
  <si>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</si>
  <si>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</si>
  <si>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</si>
  <si>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</si>
  <si>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</si>
  <si>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</si>
  <si>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</si>
  <si>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</si>
  <si>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</si>
  <si>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</si>
  <si>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</si>
  <si>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</si>
  <si>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</si>
  <si>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</si>
  <si>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</si>
  <si>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</si>
  <si>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</si>
  <si>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</si>
  <si>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</si>
  <si>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</si>
  <si>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</si>
  <si>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</si>
  <si>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</si>
  <si>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</si>
  <si>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</si>
  <si>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</si>
  <si>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</si>
  <si>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</si>
  <si>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</si>
  <si>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</si>
  <si>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</si>
  <si>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</si>
  <si>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</si>
  <si>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</si>
  <si>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</si>
  <si>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</si>
  <si>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</si>
  <si>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</si>
  <si>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</si>
  <si>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</si>
  <si>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</si>
  <si>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</si>
  <si>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</si>
  <si>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</si>
  <si>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</si>
  <si>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</si>
  <si>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</si>
  <si>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</si>
  <si>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</si>
  <si>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</si>
  <si>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</si>
  <si>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</si>
  <si>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</si>
  <si>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</si>
  <si>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</si>
  <si>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</si>
  <si>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</si>
  <si>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</si>
  <si>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</si>
  <si>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</si>
  <si>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</si>
  <si>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</si>
  <si>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</si>
  <si>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</si>
  <si>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</si>
  <si>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</si>
  <si>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</si>
  <si>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</si>
  <si>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</si>
  <si>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</si>
  <si>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</si>
  <si>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</si>
  <si>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</si>
  <si>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</si>
  <si>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</si>
  <si>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</si>
  <si>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</si>
  <si>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</si>
  <si>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</si>
  <si>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</si>
  <si>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</si>
  <si>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</si>
  <si>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</si>
  <si>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</si>
  <si>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</si>
  <si>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</si>
  <si>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</si>
  <si>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</si>
  <si>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</si>
  <si>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</si>
  <si>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</si>
  <si>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</si>
  <si>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</si>
  <si>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</si>
  <si>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</si>
  <si>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</si>
  <si>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</si>
  <si>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</si>
  <si>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</si>
  <si>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</si>
  <si>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</si>
  <si>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</si>
  <si>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</si>
  <si>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</si>
  <si>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</si>
  <si>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</si>
  <si>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</si>
  <si>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</si>
  <si>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</si>
  <si>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</si>
  <si>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</si>
  <si>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</si>
  <si>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</si>
  <si>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</si>
  <si>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</si>
  <si>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</si>
  <si>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</si>
  <si>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</si>
  <si>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</si>
  <si>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</si>
  <si>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</si>
  <si>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</si>
  <si>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</si>
  <si>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</si>
  <si>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</si>
  <si>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</si>
  <si>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</si>
  <si>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</si>
  <si>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</si>
  <si>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</si>
  <si>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</si>
  <si>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</si>
  <si>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</si>
  <si>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</si>
  <si>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</si>
  <si>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</si>
  <si>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</si>
  <si>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</si>
  <si>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</si>
  <si>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</si>
  <si>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</si>
  <si>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</si>
  <si>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</si>
  <si>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</si>
  <si>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</si>
  <si>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</si>
  <si>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</si>
  <si>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</si>
  <si>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</si>
  <si>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</si>
  <si>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</si>
  <si>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</si>
  <si>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</si>
  <si>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</si>
  <si>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</si>
  <si>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</si>
  <si>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</si>
  <si>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</si>
  <si>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</si>
  <si>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</si>
  <si>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</si>
  <si>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</si>
  <si>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</si>
  <si>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</si>
  <si>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</si>
  <si>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</si>
  <si>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</si>
  <si>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</si>
  <si>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</si>
  <si>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</si>
  <si>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</si>
  <si>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</si>
  <si>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</si>
  <si>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</si>
  <si>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</si>
  <si>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</si>
  <si>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</si>
  <si>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</si>
  <si>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</si>
  <si>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</si>
  <si>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</si>
  <si>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</si>
  <si>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</si>
  <si>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</si>
  <si>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</si>
  <si>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</si>
  <si>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</si>
  <si>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</si>
  <si>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</si>
  <si>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</si>
  <si>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</si>
  <si>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</si>
  <si>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</si>
  <si>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</si>
  <si>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</si>
  <si>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</si>
  <si>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</si>
  <si>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</si>
  <si>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</si>
  <si>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</si>
  <si>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</si>
  <si>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</si>
  <si>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</si>
  <si>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</si>
  <si>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</si>
  <si>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</si>
  <si>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</si>
  <si>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</si>
  <si>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</si>
  <si>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</si>
  <si>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</si>
  <si>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</si>
  <si>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</si>
  <si>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Morgan Patel</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</si>
  <si>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</si>
  <si>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</si>
  <si>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</si>
  <si>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</si>
  <si>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</si>
  <si>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</si>
  <si>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</si>
  <si>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</si>
  <si>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</si>
  <si>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</si>
  <si>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</si>
  <si>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</si>
  <si>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</si>
  <si>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Go-live readiness review</t>
  </si>
  <si>
    <t xml:space="preserve">Three predecessors.</t>
  </si>
  <si>
    <t xml:space="preserve">Go-live</t>
  </si>
  <si>
    <t xml:space="preserve">Milestone with a deadline of 18-Dec.</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</si>
  <si>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</si>
  <si>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</si>
  <si>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</si>
  <si>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</si>
  <si>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</si>
  <si>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</si>
  <si>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</si>
  <si>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</si>
  <si>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</si>
  <si>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</si>
  <si>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</si>
  <si>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</si>
  <si>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</si>
  <si>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</si>
  <si>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</si>
  <si>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</si>
  <si>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</si>
  <si>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</si>
  <si>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</si>
  <si>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</si>
  <si>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</si>
  <si>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</si>
  <si>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</si>
  <si>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</si>
  <si>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</si>
  <si>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</si>
  <si>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</si>
  <si>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</si>
  <si>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</si>
  <si>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</si>
  <si>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</si>
  <si>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</si>
  <si>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</si>
  <si>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</si>
  <si>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</si>
  <si>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</si>
  <si>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</si>
  <si>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</si>
  <si>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</si>
  <si>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</si>
  <si>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</si>
  <si>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</si>
  <si>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</si>
  <si>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</si>
  <si>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</si>
  <si>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</si>
  <si>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</si>
  <si>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</si>
  <si>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</si>
  <si>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</si>
  <si>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</si>
  <si>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</si>
  <si>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</si>
  <si>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</si>
  <si>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</si>
  <si>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</si>
  <si>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</si>
  <si>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</si>
  <si>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</si>
  <si>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</si>
  <si>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</si>
  <si>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</si>
  <si>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</si>
  <si>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</si>
  <si>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</si>
  <si>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</si>
  <si>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</si>
  <si>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</si>
  <si>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</si>
  <si>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</si>
  <si>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</si>
  <si>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</si>
  <si>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</si>
  <si>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</si>
  <si>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</si>
  <si>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</si>
  <si>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</si>
  <si>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</si>
  <si>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</si>
  <si>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</si>
  <si>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</si>
  <si>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</si>
  <si>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</si>
  <si>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</si>
  <si>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</si>
  <si>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</si>
  <si>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</si>
  <si>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</si>
  <si>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</si>
  <si>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</si>
  <si>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</si>
  <si>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</si>
  <si>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</si>
  <si>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</si>
  <si>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</si>
  <si>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</si>
  <si>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</si>
  <si>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</si>
  <si>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</si>
  <si>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</si>
  <si>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</si>
  <si>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</si>
  <si>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</si>
  <si>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</si>
  <si>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</si>
  <si>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</si>
  <si>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</si>
  <si>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Also Typed Above</t>
  </si>
  <si>
    <t xml:space="preserve">_Key</t>
  </si>
  <si>
    <t xml:space="preserve">_MonthText</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</si>
</sst>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2" fontId="8" fillId="0" borderId="1" xfId="0" applyFont="true" applyBorder="true" applyAlignment="true" applyProtection="true">
      <alignment horizontal="center" vertical="bottom" textRotation="0" wrapText="false" indent="0" shrinkToFit="false"/>
      <protection locked="fals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6</c:v>
                </c:pt>
                <c:pt idx="1">
                  <c:v>0</c:v>
                </c:pt>
                <c:pt idx="2">
                  <c:v>1</c:v>
                </c:pt>
                <c:pt idx="3">
                  <c:v>2</c:v>
                </c:pt>
                <c:pt idx="4">
                  <c:v>0</c:v>
                </c:pt>
              </c:numCache>
            </c:numRef>
          </c:val>
        </c:ser>
        <c:gapWidth val="150"/>
        <c:overlap val="0"/>
        <c:axId val="1001"/>
        <c:axId val="1002"/>
      </c:barChart>
      <c:catAx>
        <c:axId val="1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
        <c:crosses val="autoZero"/>
        <c:auto val="1"/>
        <c:lblAlgn val="ctr"/>
        <c:lblOffset val="100"/>
        <c:noMultiLvlLbl val="0"/>
      </c:catAx>
      <c:valAx>
        <c:axId val="10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5:C155" headerRowCount="1">
  <autoFilter ref="B55:C155"/>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6:C52"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79:C85"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GX205" headerRowCount="1">
  <autoFilter ref="A5:GX205"/>
  <tableColumns count="206">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_Level">
      <calculatedColumnFormula>IF(Tasks[[#This Row],[Task Name]]="","",MAX(1,N(Tasks[[#This Row],[Level]])))</calculatedColumnFormula>
    </tableColumn>
    <tableColumn id="74" name="_Row">
      <calculatedColumnFormula>ROW()-ROW(Tasks[[#Headers],[ID]])</calculatedColumnFormula>
    </tableColumn>
    <tableColumn id="75" name="_ParentRow">
      <calculatedColumnFormula>IF(OR(Tasks[[#This Row],[Task Name]]="",Tasks[[#This Row],[_Level]]&lt;=1),0,IFERROR(LOOKUP(2,1/(Tasks[[#Headers],[_Level]]:Tasks[[#This Row],[_Level]]=Tasks[[#This Row],[_Level]]-1),ROW(Tasks[[#Headers],[_Level]]:Tasks[[#This Row],[_Level]])),0))</calculatedColumnFormula>
    </tableColumn>
    <tableColumn id="76" name="_NextLevel">
      <calculatedColumnFormula>IFERROR(N(INDEX(Tasks[_Level],Tasks[[#This Row],[_Row]]+1)),0)</calculatedColumnFormula>
    </tableColumn>
    <tableColumn id="77" name="_IsSummary">
      <calculatedColumnFormula>AND(Tasks[[#This Row],[Task Name]]&lt;&gt;"",Tasks[[#This Row],[_NextLevel]]&gt;Tasks[[#This Row],[_Level]])</calculatedColumnFormula>
    </tableColumn>
    <tableColumn id="78" name="_Descendants">
      <calculatedColumnFormula>IF(Tasks[[#This Row],[_IsSummary]],COUNTIF(Tasks[WBS],Tasks[[#This Row],[WBS]]&amp;".*"),0)</calculatedColumnFormula>
    </tableColumn>
    <tableColumn id="79" name="_IsLeaf">
      <calculatedColumnFormula>IF(AND(Tasks[[#This Row],[Task Name]]&lt;&gt;"",NOT(Tasks[[#This Row],[_IsSummary]])),1,0)</calculatedColumnFormula>
    </tableColumn>
    <tableColumn id="80" name="_Pred1Pos">
      <calculatedColumnFormula>IF(N(Tasks[[#This Row],[_Pred1UID]])=0,0,IFERROR(MATCH(Tasks[[#This Row],[_Pred1UID]],Tasks[UID],0),-1))</calculatedColumnFormula>
    </tableColumn>
    <tableColumn id="81" name="_Pred2Pos">
      <calculatedColumnFormula>IF(N(Tasks[[#This Row],[_Pred2UID]])=0,0,IFERROR(MATCH(Tasks[[#This Row],[_Pred2UID]],Tasks[UID],0),-1))</calculatedColumnFormula>
    </tableColumn>
    <tableColumn id="82" name="_Pred3Pos">
      <calculatedColumnFormula>IF(N(Tasks[[#This Row],[_Pred3UID]])=0,0,IFERROR(MATCH(Tasks[[#This Row],[_Pred3UID]],Tasks[UID],0),-1))</calculatedColumnFormula>
    </tableColumn>
    <tableColumn id="83" name="_Pred4Pos">
      <calculatedColumnFormula>IF(N(Tasks[[#This Row],[_Pred4UID]])=0,0,IFERROR(MATCH(Tasks[[#This Row],[_Pred4UID]],Tasks[UID],0),-1))</calculatedColumnFormula>
    </tableColumn>
    <tableColumn id="8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5"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86" name="_ConstraintLow">
      <calculatedColumnFormula>IF(OR(Tasks[[#This Row],[_ConstraintCode]]=2,Tasks[[#This Row],[_ConstraintCode]]=3,Tasks[[#This Row],[_ConstraintCode]]=4,Tasks[[#This Row],[_ConstraintCode]]=6),Tasks[[#This Row],[_ConstraintStart]],0)</calculatedColumnFormula>
    </tableColumn>
    <tableColumn id="87" name="_ConstraintHigh">
      <calculatedColumnFormula>IF(OR(Tasks[[#This Row],[_ConstraintCode]]=2,Tasks[[#This Row],[_ConstraintCode]]=3,Tasks[[#This Row],[_ConstraintCode]]=5,Tasks[[#This Row],[_ConstraintCode]]=7),Tasks[[#This Row],[_ConstraintStart]],2958465)</calculatedColumnFormula>
    </tableColumn>
    <tableColumn id="8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9" name="_LeafCalcFinish">
      <calculatedColumnFormula>IF(NOT(Tasks[[#This Row],[_IsLeaf]]=1),"",IF(N(Tasks[[#This Row],[_Days]])&lt;=0,Tasks[[#This Row],[_LeafCalcStart]],WORKDAY.INTL(Tasks[[#This Row],[_LeafCalcStart]],Tasks[[#This Row],[_Days]]-1,WorkWeek,Holidays)))</calculatedColumnFormula>
    </tableColumn>
    <tableColumn id="9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1"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2" name="_Pred1Text">
      <calculatedColumnFormula>IF(Tasks[[#This Row],[_Predecessors]]="","",TRIM(MID(SUBSTITUTE(SUBSTITUTE(SUBSTITUTE(UPPER(Tasks[[#This Row],[_Predecessors]]),";",",")," ",""),",",REPT(" ",99)),1,99)))</calculatedColumnFormula>
    </tableColumn>
    <tableColumn id="9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9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9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96" name="_Pred2Text">
      <calculatedColumnFormula>IF(Tasks[[#This Row],[_Pred1Text]]="","",TRIM(MID(SUBSTITUTE(SUBSTITUTE(SUBSTITUTE(UPPER(Tasks[[#This Row],[_Predecessors]]),";",",")," ",""),",",REPT(" ",99)),100,99)))</calculatedColumnFormula>
    </tableColumn>
    <tableColumn id="9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9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9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0" name="_Pred3Text">
      <calculatedColumnFormula>IF(Tasks[[#This Row],[_Pred2Text]]="","",TRIM(MID(SUBSTITUTE(SUBSTITUTE(SUBSTITUTE(UPPER(Tasks[[#This Row],[_Predecessors]]),";",",")," ",""),",",REPT(" ",99)),199,99)))</calculatedColumnFormula>
    </tableColumn>
    <tableColumn id="10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0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04" name="_Pred4Text">
      <calculatedColumnFormula>IF(Tasks[[#This Row],[_Pred3Text]]="","",TRIM(MID(SUBSTITUTE(SUBSTITUTE(SUBSTITUTE(UPPER(Tasks[[#This Row],[_Predecessors]]),";",",")," ",""),",",REPT(" ",99)),298,99)))</calculatedColumnFormula>
    </tableColumn>
    <tableColumn id="10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0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0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08" name="_Res1Text">
      <calculatedColumnFormula>IF(OR(Tasks[[#This Row],[Task Name]]="",Tasks[[#This Row],[_Resources]]=""),"",TRIM(MID(SUBSTITUTE(Tasks[[#This Row],[_Resources]],",",REPT(" ",99)),1,99)))</calculatedColumnFormula>
    </tableColumn>
    <tableColumn id="109" name="_Res2Text">
      <calculatedColumnFormula>IF(Tasks[[#This Row],[_Res1Text]]="","",TRIM(MID(SUBSTITUTE(Tasks[[#This Row],[_Resources]],",",REPT(" ",99)),100,99)))</calculatedColumnFormula>
    </tableColumn>
    <tableColumn id="110" name="_Res3Text">
      <calculatedColumnFormula>IF(Tasks[[#This Row],[_Res2Text]]="","",TRIM(MID(SUBSTITUTE(Tasks[[#This Row],[_Resources]],",",REPT(" ",99)),199,99)))</calculatedColumnFormula>
    </tableColumn>
    <tableColumn id="111" name="_Res4Text">
      <calculatedColumnFormula>IF(Tasks[[#This Row],[_Res3Text]]="","",TRIM(MID(SUBSTITUTE(Tasks[[#This Row],[_Resources]],",",REPT(" ",99)),298,99)))</calculatedColumnFormula>
    </tableColumn>
    <tableColumn id="11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1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1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1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16" name="_Resource1">
      <calculatedColumnFormula>IF(Tasks[[#This Row],[_Res1Text]]="","",IF(Tasks[[#This Row],[_Res1Row]]&gt;0,INDEX(res_Name,Tasks[[#This Row],[_Res1Row]]),TRIM(LEFT(Tasks[[#This Row],[_Res1Text]],FIND("[",Tasks[[#This Row],[_Res1Text]]&amp;"[")-1))))</calculatedColumnFormula>
    </tableColumn>
    <tableColumn id="11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18" name="_People">
      <calculatedColumnFormula>IF(NOT(Tasks[[#This Row],[_IsLeaf]]=1),0,(Tasks[[#This Row],[_Resource1]]&lt;&gt;"")+(Tasks[[#This Row],[_Res2]]&lt;&gt;"")+(Tasks[[#This Row],[_Res3]]&lt;&gt;"")+(Tasks[[#This Row],[_Res4]]&lt;&gt;""))</calculatedColumnFormula>
    </tableColumn>
    <tableColumn id="119" name="_Res2">
      <calculatedColumnFormula>IF(Tasks[[#This Row],[_Res2Text]]="","",IF(Tasks[[#This Row],[_Res2Row]]&gt;0,INDEX(res_Name,Tasks[[#This Row],[_Res2Row]]),TRIM(LEFT(Tasks[[#This Row],[_Res2Text]],FIND("[",Tasks[[#This Row],[_Res2Text]]&amp;"[")-1))))</calculatedColumnFormula>
    </tableColumn>
    <tableColumn id="12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1" name="_Res2Work">
      <calculatedColumnFormula>IF(OR(NOT(Tasks[[#This Row],[_IsLeaf]]=1),Tasks[[#This Row],[_Res2Row]]=0),0,N(Tasks[[#This Row],[_Days]])*HoursPerDay*IF(Tasks[[#This Row],[_Res2Units]]="",DefaultUnits,Tasks[[#This Row],[_Res2Units]]))</calculatedColumnFormula>
    </tableColumn>
    <tableColumn id="122" name="_Res2WorkPerWD">
      <calculatedColumnFormula>IF(AND(AND(Tasks[[#This Row],[_IsLeaf]]=1,Tasks[[#This Row],[_LeafTotalWork]]&gt;0),Tasks[[#This Row],[_Res2Work]]&gt;0),Tasks[[#This Row],[_Res2Work]]/(Tasks[[#This Row],[_FinishWorkday]]-Tasks[[#This Row],[_StartWorkday]]+1),0)</calculatedColumnFormula>
    </tableColumn>
    <tableColumn id="123" name="_Res2WorkBefore">
      <calculatedColumnFormula>Tasks[[#This Row],[_Res2WorkPerWD]]*MAX(0,Tasks[[#This Row],[_StartWorkday]]-1)</calculatedColumnFormula>
    </tableColumn>
    <tableColumn id="124" name="_Res2WorkDone">
      <calculatedColumnFormula>Tasks[[#This Row],[_Res2Work]]*Tasks[[#This Row],[_LeafProgress]]</calculatedColumnFormula>
    </tableColumn>
    <tableColumn id="125" name="_Res3">
      <calculatedColumnFormula>IF(Tasks[[#This Row],[_Res3Text]]="","",IF(Tasks[[#This Row],[_Res3Row]]&gt;0,INDEX(res_Name,Tasks[[#This Row],[_Res3Row]]),TRIM(LEFT(Tasks[[#This Row],[_Res3Text]],FIND("[",Tasks[[#This Row],[_Res3Text]]&amp;"[")-1))))</calculatedColumnFormula>
    </tableColumn>
    <tableColumn id="12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27" name="_Res3Work">
      <calculatedColumnFormula>IF(OR(NOT(Tasks[[#This Row],[_IsLeaf]]=1),Tasks[[#This Row],[_Res3Row]]=0),0,N(Tasks[[#This Row],[_Days]])*HoursPerDay*IF(Tasks[[#This Row],[_Res3Units]]="",DefaultUnits,Tasks[[#This Row],[_Res3Units]]))</calculatedColumnFormula>
    </tableColumn>
    <tableColumn id="128" name="_Res3WorkPerWD">
      <calculatedColumnFormula>IF(AND(AND(Tasks[[#This Row],[_IsLeaf]]=1,Tasks[[#This Row],[_LeafTotalWork]]&gt;0),Tasks[[#This Row],[_Res3Work]]&gt;0),Tasks[[#This Row],[_Res3Work]]/(Tasks[[#This Row],[_FinishWorkday]]-Tasks[[#This Row],[_StartWorkday]]+1),0)</calculatedColumnFormula>
    </tableColumn>
    <tableColumn id="129" name="_Res3WorkBefore">
      <calculatedColumnFormula>Tasks[[#This Row],[_Res3WorkPerWD]]*MAX(0,Tasks[[#This Row],[_StartWorkday]]-1)</calculatedColumnFormula>
    </tableColumn>
    <tableColumn id="130" name="_Res3WorkDone">
      <calculatedColumnFormula>Tasks[[#This Row],[_Res3Work]]*Tasks[[#This Row],[_LeafProgress]]</calculatedColumnFormula>
    </tableColumn>
    <tableColumn id="131" name="_Res4">
      <calculatedColumnFormula>IF(Tasks[[#This Row],[_Res4Text]]="","",IF(Tasks[[#This Row],[_Res4Row]]&gt;0,INDEX(res_Name,Tasks[[#This Row],[_Res4Row]]),TRIM(LEFT(Tasks[[#This Row],[_Res4Text]],FIND("[",Tasks[[#This Row],[_Res4Text]]&amp;"[")-1))))</calculatedColumnFormula>
    </tableColumn>
    <tableColumn id="13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33" name="_Res4Work">
      <calculatedColumnFormula>IF(OR(NOT(Tasks[[#This Row],[_IsLeaf]]=1),Tasks[[#This Row],[_Res4Row]]=0),0,N(Tasks[[#This Row],[_Days]])*HoursPerDay*IF(Tasks[[#This Row],[_Res4Units]]="",DefaultUnits,Tasks[[#This Row],[_Res4Units]]))</calculatedColumnFormula>
    </tableColumn>
    <tableColumn id="134" name="_Res4WorkPerWD">
      <calculatedColumnFormula>IF(AND(AND(Tasks[[#This Row],[_IsLeaf]]=1,Tasks[[#This Row],[_LeafTotalWork]]&gt;0),Tasks[[#This Row],[_Res4Work]]&gt;0),Tasks[[#This Row],[_Res4Work]]/(Tasks[[#This Row],[_FinishWorkday]]-Tasks[[#This Row],[_StartWorkday]]+1),0)</calculatedColumnFormula>
    </tableColumn>
    <tableColumn id="135" name="_Res4WorkBefore">
      <calculatedColumnFormula>Tasks[[#This Row],[_Res4WorkPerWD]]*MAX(0,Tasks[[#This Row],[_StartWorkday]]-1)</calculatedColumnFormula>
    </tableColumn>
    <tableColumn id="136" name="_Res4WorkDone">
      <calculatedColumnFormula>Tasks[[#This Row],[_Res4Work]]*Tasks[[#This Row],[_LeafProgress]]</calculatedColumnFormula>
    </tableColumn>
    <tableColumn id="137" name="_Pct">
      <calculatedColumnFormula>IF(ISNUMBER(Tasks[[#This Row],[% Complete]]),Tasks[[#This Row],[% Complete]],IF(Tasks[[#This Row],[Stage]]="",0,IFERROR(INDEX(stg_Pct,MATCH(Tasks[[#This Row],[Stage]],stg_Name,0)),0)))</calculatedColumnFormula>
    </tableColumn>
    <tableColumn id="138" name="_LeafProgress">
      <calculatedColumnFormula>IF(NOT(Tasks[[#This Row],[_IsLeaf]]=1),0,IF(N(Tasks[[#This Row],[Actual Finish]])&gt;0,1,MIN(1,Tasks[[#This Row],[_Pct]])))</calculatedColumnFormula>
    </tableColumn>
    <tableColumn id="139" name="_LeafWork">
      <calculatedColumnFormula>IF(OR(NOT(Tasks[[#This Row],[_IsLeaf]]=1),Tasks[[#This Row],[_Res1Row]]=0),0,N(Tasks[[#This Row],[_Days]])*HoursPerDay*IF(Tasks[[#This Row],[_Units1]]="",DefaultUnits,Tasks[[#This Row],[_Units1]]))</calculatedColumnFormula>
    </tableColumn>
    <tableColumn id="140" name="_LeafTotalWork">
      <calculatedColumnFormula>Tasks[[#This Row],[_LeafWork]]+Tasks[[#This Row],[_Res2Work]]+Tasks[[#This Row],[_Res3Work]]+Tasks[[#This Row],[_Res4Work]]</calculatedColumnFormula>
    </tableColumn>
    <tableColumn id="141"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2"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43"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44"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4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4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4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4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4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1"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2" name="_LeafLateStart">
      <calculatedColumnFormula>IF(NOT(Tasks[[#This Row],[_IsLeaf]]=1),"",IF(N(Tasks[[#This Row],[_Days]])&lt;=0,Tasks[[#This Row],[_LeafLateFinish]],WORKDAY.INTL(Tasks[[#This Row],[_LeafLateFinish]],-(Tasks[[#This Row],[_Days]]-1),WorkWeek,Holidays)))</calculatedColumnFormula>
    </tableColumn>
    <tableColumn id="15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54" name="_LeafCritical">
      <calculatedColumnFormula>AND(Tasks[[#This Row],[_IsLeaf]]=1,Tasks[[#This Row],[_LeafProgress]]&lt;1,N(Tasks[[#This Row],[_LeafTotalSlack]])&lt;=CriticalSlackDays)</calculatedColumnFormula>
    </tableColumn>
    <tableColumn id="155" name="_AlapShift">
      <calculatedColumnFormula>IF(AND(Tasks[[#This Row],[_IsLeaf]]=1,Tasks[[#This Row],[_ConstraintCode]]=1,Tasks[[#This Row],[Mode]]&lt;&gt;"Manual",N(Tasks[[#This Row],[Actual Start]])=0),MAX(0,N(Tasks[[#This Row],[Free Slack]])),0)</calculatedColumnFormula>
    </tableColumn>
    <tableColumn id="156" name="_ShownCalcStart">
      <calculatedColumnFormula>IF(NOT(Tasks[[#This Row],[_IsLeaf]]=1),"",IF(Tasks[[#This Row],[_AlapShift]]=0,Tasks[[#This Row],[_LeafCalcStart]],WORKDAY.INTL(Tasks[[#This Row],[_LeafCalcStart]],Tasks[[#This Row],[_AlapShift]],WorkWeek,Holidays)))</calculatedColumnFormula>
    </tableColumn>
    <tableColumn id="157" name="_ShownCalcFinish">
      <calculatedColumnFormula>IF(NOT(Tasks[[#This Row],[_IsLeaf]]=1),"",IF(Tasks[[#This Row],[_AlapShift]]=0,Tasks[[#This Row],[_LeafCalcFinish]],WORKDAY.INTL(Tasks[[#This Row],[_LeafCalcFinish]],Tasks[[#This Row],[_AlapShift]],WorkWeek,Holidays)))</calculatedColumnFormula>
    </tableColumn>
    <tableColumn id="158" name="_ShownFcstStart">
      <calculatedColumnFormula>IF(NOT(Tasks[[#This Row],[_IsLeaf]]=1),"",IF(Tasks[[#This Row],[_AlapShift]]=0,Tasks[[#This Row],[_LeafFcstStart]],WORKDAY.INTL(Tasks[[#This Row],[_LeafFcstStart]],Tasks[[#This Row],[_AlapShift]],WorkWeek,Holidays)))</calculatedColumnFormula>
    </tableColumn>
    <tableColumn id="159" name="_ShownFcstFinish">
      <calculatedColumnFormula>IF(NOT(Tasks[[#This Row],[_IsLeaf]]=1),"",IF(Tasks[[#This Row],[_AlapShift]]=0,Tasks[[#This Row],[_LeafFcstFinish]],WORKDAY.INTL(Tasks[[#This Row],[_LeafFcstFinish]],Tasks[[#This Row],[_AlapShift]],WorkWeek,Holidays)))</calculatedColumnFormula>
    </tableColumn>
    <tableColumn id="16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6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6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6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6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6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6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6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7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74" name="_StartWorkday">
      <calculatedColumnFormula>IF(AND(Tasks[[#This Row],[_IsLeaf]]=1,Tasks[[#This Row],[_LeafTotalWork]]&gt;0),NETWORKDAYS.INTL(ProjectStart,Tasks[[#This Row],[_ShownFcstStart]],WorkWeek,Holidays),0)</calculatedColumnFormula>
    </tableColumn>
    <tableColumn id="175" name="_FinishWorkday">
      <calculatedColumnFormula>IF(AND(Tasks[[#This Row],[_IsLeaf]]=1,Tasks[[#This Row],[_LeafTotalWork]]&gt;0),MAX(Tasks[[#This Row],[_StartWorkday]],NETWORKDAYS.INTL(ProjectStart,Tasks[[#This Row],[_ShownFcstFinish]],WorkWeek,Holidays)),0)</calculatedColumnFormula>
    </tableColumn>
    <tableColumn id="176" name="_WorkPerWorkday">
      <calculatedColumnFormula>IF(AND(Tasks[[#This Row],[_IsLeaf]]=1,Tasks[[#This Row],[_LeafTotalWork]]&gt;0),Tasks[[#This Row],[_LeafWork]]/(Tasks[[#This Row],[_FinishWorkday]]-Tasks[[#This Row],[_StartWorkday]]+1),0)</calculatedColumnFormula>
    </tableColumn>
    <tableColumn id="177" name="_WorkBeforeStart">
      <calculatedColumnFormula>Tasks[[#This Row],[_WorkPerWorkday]]*(Tasks[[#This Row],[_StartWorkday]]-1)</calculatedColumnFormula>
    </tableColumn>
    <tableColumn id="178" name="_WeightDur">
      <calculatedColumnFormula>IF(Tasks[[#This Row],[_IsLeaf]]=1,MAX(N(Tasks[[#This Row],[_Days]]),0.1),0)</calculatedColumnFormula>
    </tableColumn>
    <tableColumn id="179" name="_WeightDone">
      <calculatedColumnFormula>Tasks[[#This Row],[_WeightDur]]*Tasks[[#This Row],[_LeafProgress]]</calculatedColumnFormula>
    </tableColumn>
    <tableColumn id="180" name="_WeightPlanned">
      <calculatedColumnFormula>Tasks[[#This Row],[_WeightDur]]*Tasks[[#This Row],[_PlannedPct]]</calculatedColumnFormula>
    </tableColumn>
    <tableColumn id="18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2" name="_MilestoneKey">
      <calculatedColumnFormula>IF(AND(Tasks[[#This Row],[_IsLeaf]]=1,N(Tasks[[#This Row],[_Days]])=0,Tasks[[#This Row],[_LeafProgress]]&lt;1),Tasks[[#This Row],[_ShownFcstFinish]]+Tasks[[#This Row],[_Row]]/100000,"")</calculatedColumnFormula>
    </tableColumn>
    <tableColumn id="18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84" name="_Phase">
      <calculatedColumnFormula>IF(Tasks[[#This Row],[Task Name]]="","",LEFT(Tasks[[#This Row],[WBS]],FIND(".",Tasks[[#This Row],[WBS]]&amp;".")-1))</calculatedColumnFormula>
    </tableColumn>
    <tableColumn id="185" name="_PhaseKey">
      <calculatedColumnFormula>IF(AND(Tasks[[#This Row],[Task Name]]&lt;&gt;"",Tasks[[#This Row],[_Level]]=1),Tasks[[#This Row],[_Row]],"")</calculatedColumnFormula>
    </tableColumn>
    <tableColumn id="186" name="_MilestoneOrder">
      <calculatedColumnFormula>IF(AND(Tasks[[#This Row],[_IsLeaf]]=1,N(Tasks[[#This Row],[_Days]])=0),Tasks[[#This Row],[Planned Finish]]+Tasks[[#This Row],[_Row]]/100000,"")</calculatedColumnFormula>
    </tableColumn>
    <tableColumn id="187" name="_LateKey">
      <calculatedColumnFormula>IF(AND(Tasks[[#This Row],[_IsLeaf]]=1,Tasks[[#This Row],[_LeafProgress]]&lt;1,OR(N(Tasks[[#This Row],[Finish Var]])&gt;0,Tasks[[#This Row],[Status]]="Late Start")),MAX(0,Tasks[[#This Row],[Finish Var]])+1-Tasks[[#This Row],[_Row]]/1000000,"")</calculatedColumnFormula>
    </tableColumn>
    <tableColumn id="18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0" name="_CriticalKey">
      <calculatedColumnFormula>IF(Tasks[[#This Row],[_LeafCritical]],Tasks[[#This Row],[_ShownFcstStart]]+Tasks[[#This Row],[_Row]]/100000,"")</calculatedColumnFormula>
    </tableColumn>
    <tableColumn id="191" name="_LeafWorkDone">
      <calculatedColumnFormula>Tasks[[#This Row],[_LeafWork]]*Tasks[[#This Row],[_LeafProgress]]</calculatedColumnFormula>
    </tableColumn>
    <tableColumn id="192" name="_DoneDate">
      <calculatedColumnFormula>IF(AND(Tasks[[#This Row],[_IsLeaf]]=1,Tasks[[#This Row],[_LeafProgress]]&gt;=1),IF(N(Tasks[[#This Row],[Actual Finish]])&gt;0,Tasks[[#This Row],[Actual Finish]],Tasks[[#This Row],[_ShownFcstFinish]]),"")</calculatedColumnFormula>
    </tableColumn>
    <tableColumn id="193" name="_LeafPoints">
      <calculatedColumnFormula>IF(Tasks[[#This Row],[_IsLeaf]]=1,N(Tasks[[#This Row],[Story Points]]),0)</calculatedColumnFormula>
    </tableColumn>
    <tableColumn id="194" name="_CurrentSprintKey">
      <calculatedColumnFormula>""</calculatedColumnFormula>
    </tableColumn>
    <tableColumn id="195" name="_IsMilestone">
      <calculatedColumnFormula>IF(Tasks[[#This Row],[Task Name]]="",FALSE(),AND(Tasks[[#This Row],[_IsLeaf]]=1,N(Tasks[[#This Row],[_Days]])=0))</calculatedColumnFormula>
    </tableColumn>
    <tableColumn id="196" name="_DoneFrom">
      <calculatedColumnFormula>IF(Tasks[[#This Row],[Task Name]]="",0,IF(AND(Tasks[[#This Row],[_IsLeaf]]=1,NOT(Tasks[[#This Row],[_IsMilestone]]),N(Tasks[[#This Row],[Progress]])&gt;0),Tasks[[#This Row],[Start]],0))</calculatedColumnFormula>
    </tableColumn>
    <tableColumn id="197" name="_DoneTo">
      <calculatedColumnFormula>IF(Tasks[[#This Row],[_DoneFrom]]=0,0,IF(Tasks[[#This Row],[Progress]]&gt;=1,Tasks[[#This Row],[Finish]],MAX(Tasks[[#This Row],[_DoneFrom]],Tasks[[#This Row],[Start]]+ROUND((Tasks[[#This Row],[Finish]]-Tasks[[#This Row],[Start]]+1)*Tasks[[#This Row],[Progress]],0)-1)))</calculatedColumnFormula>
    </tableColumn>
    <tableColumn id="198" name="_RemFrom">
      <calculatedColumnFormula>IF(Tasks[[#This Row],[Task Name]]="",0,IF(OR(NOT(Tasks[[#This Row],[_IsLeaf]]=1),Tasks[[#This Row],[_IsMilestone]],N(Tasks[[#This Row],[Progress]])&gt;=1),0,IF(Tasks[[#This Row],[_DoneTo]]&gt;0,Tasks[[#This Row],[_DoneTo]]+1,Tasks[[#This Row],[Start]])))</calculatedColumnFormula>
    </tableColumn>
    <tableColumn id="199" name="_RemTo">
      <calculatedColumnFormula>IF(Tasks[[#This Row],[_RemFrom]]=0,0,Tasks[[#This Row],[Finish]])</calculatedColumnFormula>
    </tableColumn>
    <tableColumn id="200" name="_ShowPlan">
      <calculatedColumnFormula>IF(Tasks[[#This Row],[Task Name]]="",FALSE(),OR(NOT(BaselineSet),N(Tasks[[#This Row],[Baseline Start]])&gt;0))</calculatedColumnFormula>
    </tableColumn>
    <tableColumn id="201" name="_Days">
      <calculatedColumnFormul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2"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03"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04" name="_PickKey">
      <calculatedColumnFormula>IF(Tasks[[#This Row],[_IsLeaf]]=1,Tasks[[#This Row],[_Row]],"")</calculatedColumnFormula>
    </tableColumn>
    <tableColumn id="205" name="_PickList">
      <calculatedColumnFormula>IFERROR(INDEX(Tasks[UID],SMALL(Tasks[_PickKey],Tasks[[#This Row],[_Row]]))&amp;" "&amp;INDEX(Tasks[Task Name],SMALL(Tasks[_PickKey],Tasks[[#This Row],[_Row]])),"")</calculatedColumnFormula>
    </tableColumn>
    <tableColumn id="206" name="_SpanDays">
      <calculatedColumnFormula>IF(Tasks[[#This Row],[Task Name]]="","",IF(Tasks[[#This Row],[_IsSummary]],NETWORKDAYS.INTL(Tasks[[#This Row],[Start]],Tasks[[#This Row],[Finish]],WorkWeek,Holidays),N(Tasks[[#This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7" customFormat="false" ht="15" hidden="false" customHeight="false" outlineLevel="0" collapsed="false">
      <c r="B47" s="3" t="s">
        <v>66</v>
      </c>
      <c r="C47" s="4"/>
    </row>
    <row r="48" customFormat="false" ht="35.05" hidden="false" customHeight="false" outlineLevel="0" collapsed="false">
      <c r="B48" s="10" t="s">
        <v>67</v>
      </c>
      <c r="C48" s="11" t="s">
        <v>68</v>
      </c>
    </row>
    <row r="49" customFormat="false" ht="23.85" hidden="false" customHeight="false" outlineLevel="0" collapsed="false">
      <c r="B49" s="10" t="s">
        <v>69</v>
      </c>
      <c r="C49" s="11" t="s">
        <v>70</v>
      </c>
    </row>
    <row r="50" customFormat="false" ht="15" hidden="false" customHeight="false" outlineLevel="0" collapsed="false">
      <c r="B50" s="10" t="s">
        <v>71</v>
      </c>
      <c r="C50" s="11" t="s">
        <v>72</v>
      </c>
    </row>
    <row r="51" customFormat="false" ht="46.25" hidden="false" customHeight="false" outlineLevel="0" collapsed="false">
      <c r="B51" s="10" t="s">
        <v>73</v>
      </c>
      <c r="C51" s="11" t="s">
        <v>74</v>
      </c>
    </row>
    <row r="52" customFormat="false" ht="15" hidden="false" customHeight="false" outlineLevel="0" collapsed="false">
      <c r="B52" s="10" t="s">
        <v>75</v>
      </c>
      <c r="C52" s="11" t="s">
        <v>76</v>
      </c>
    </row>
    <row r="53" customFormat="false" ht="46.25" hidden="false" customHeight="false" outlineLevel="0" collapsed="false">
      <c r="B53" s="10" t="s">
        <v>77</v>
      </c>
      <c r="C53" s="11" t="s">
        <v>78</v>
      </c>
    </row>
    <row r="54" customFormat="false" ht="23.85" hidden="false" customHeight="false" outlineLevel="0" collapsed="false">
      <c r="B54" s="10" t="s">
        <v>79</v>
      </c>
      <c r="C54" s="11" t="s">
        <v>80</v>
      </c>
    </row>
    <row r="55" customFormat="false" ht="35.05" hidden="false" customHeight="false" outlineLevel="0" collapsed="false">
      <c r="B55" s="10" t="s">
        <v>81</v>
      </c>
      <c r="C55" s="11" t="s">
        <v>82</v>
      </c>
    </row>
    <row r="56" customFormat="false" ht="46.25" hidden="false" customHeight="false" outlineLevel="0" collapsed="false">
      <c r="B56" s="10" t="s">
        <v>83</v>
      </c>
      <c r="C56" s="11" t="s">
        <v>84</v>
      </c>
    </row>
    <row r="57" customFormat="false" ht="35.05" hidden="false" customHeight="false" outlineLevel="0" collapsed="false">
      <c r="B57" s="10" t="s">
        <v>85</v>
      </c>
      <c r="C57" s="11" t="s">
        <v>86</v>
      </c>
    </row>
    <row r="58" customFormat="false" ht="23.85" hidden="false" customHeight="false" outlineLevel="0" collapsed="false">
      <c r="B58" s="10" t="s">
        <v>87</v>
      </c>
      <c r="C58" s="11" t="s">
        <v>88</v>
      </c>
    </row>
    <row r="60" customFormat="false" ht="15" hidden="false" customHeight="false" outlineLevel="0" collapsed="false">
      <c r="B60" s="3" t="s">
        <v>89</v>
      </c>
      <c r="C60" s="4"/>
    </row>
    <row r="61" customFormat="false" ht="46.25" hidden="false" customHeight="false" outlineLevel="0" collapsed="false">
      <c r="B61" s="10" t="s">
        <v>90</v>
      </c>
      <c r="C61" s="11" t="s">
        <v>91</v>
      </c>
    </row>
    <row r="62" customFormat="false" ht="35.05" hidden="false" customHeight="false" outlineLevel="0" collapsed="false">
      <c r="B62" s="10" t="s">
        <v>92</v>
      </c>
      <c r="C62" s="11" t="s">
        <v>93</v>
      </c>
    </row>
    <row r="63" customFormat="false" ht="23.85" hidden="false" customHeight="false" outlineLevel="0" collapsed="false">
      <c r="B63" s="10" t="s">
        <v>94</v>
      </c>
      <c r="C63" s="11" t="s">
        <v>95</v>
      </c>
    </row>
    <row r="65" customFormat="false" ht="15" hidden="false" customHeight="false" outlineLevel="0" collapsed="false">
      <c r="B65" s="3" t="s">
        <v>96</v>
      </c>
      <c r="C65" s="4"/>
    </row>
    <row r="66" customFormat="false" ht="46.25" hidden="false" customHeight="false" outlineLevel="0" collapsed="false">
      <c r="B66" s="10" t="s">
        <v>97</v>
      </c>
      <c r="C66" s="11" t="s">
        <v>98</v>
      </c>
    </row>
    <row r="67" customFormat="false" ht="57.45" hidden="false" customHeight="false" outlineLevel="0" collapsed="false">
      <c r="B67" s="10" t="s">
        <v>99</v>
      </c>
      <c r="C67" s="11" t="s">
        <v>100</v>
      </c>
    </row>
    <row r="68" customFormat="false" ht="23.85" hidden="false" customHeight="false" outlineLevel="0" collapsed="false">
      <c r="B68" s="10" t="s">
        <v>101</v>
      </c>
      <c r="C68" s="11" t="s">
        <v>102</v>
      </c>
    </row>
    <row r="69" customFormat="false" ht="57.45" hidden="false" customHeight="false" outlineLevel="0" collapsed="false">
      <c r="B69" s="10" t="s">
        <v>103</v>
      </c>
      <c r="C69" s="11" t="s">
        <v>104</v>
      </c>
    </row>
    <row r="71" customFormat="false" ht="15" hidden="false" customHeight="false" outlineLevel="0" collapsed="false">
      <c r="B71" s="2" t="str">
        <f aca="false">"Project Planner template "&amp;TemplateVersion&amp;"  -  Excel 2019 or Microsoft 365, desktop, web and iPhone. No macros."</f>
        <v>Project Planner template 1.0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IF(LiveGrids="No","Resource grids are OFF (Settings &gt; Live resource grids): the Resource Report and Tasks &gt; Over-allocated are not up to date.","")</f>
        <v/>
      </c>
    </row>
    <row r="4" customFormat="false" ht="15" hidden="false" customHeight="false" outlineLevel="0" collapsed="false">
      <c r="B4" s="3" t="s">
        <v>105</v>
      </c>
      <c r="C4" s="3" t="s">
        <v>106</v>
      </c>
    </row>
    <row r="5" customFormat="false" ht="15" hidden="false" customHeight="false" outlineLevel="0" collapsed="false">
      <c r="B5" s="5" t="s">
        <v>107</v>
      </c>
      <c r="C5" s="7" t="n">
        <v>46320</v>
      </c>
      <c r="D5" s="2" t="s">
        <v>108</v>
      </c>
    </row>
    <row r="6" customFormat="false" ht="30" hidden="false" customHeight="true" outlineLevel="0" collapsed="false">
      <c r="B6" s="5" t="s">
        <v>109</v>
      </c>
      <c r="C6" s="9" t="s">
        <v>110</v>
      </c>
    </row>
    <row r="7" customFormat="false" ht="30" hidden="false" customHeight="true" outlineLevel="0" collapsed="false">
      <c r="B7" s="5" t="s">
        <v>111</v>
      </c>
      <c r="C7" s="16" t="s">
        <v>112</v>
      </c>
    </row>
    <row r="8" customFormat="false" ht="30" hidden="false" customHeight="true" outlineLevel="0" collapsed="false">
      <c r="B8" s="5" t="s">
        <v>113</v>
      </c>
      <c r="C8" s="16" t="s">
        <v>114</v>
      </c>
    </row>
    <row r="13" customFormat="false" ht="15" hidden="false" customHeight="false" outlineLevel="0" collapsed="false">
      <c r="B13" s="17" t="s">
        <v>115</v>
      </c>
      <c r="C13" s="17" t="s">
        <v>116</v>
      </c>
      <c r="D13" s="17" t="s">
        <v>117</v>
      </c>
      <c r="E13" s="17" t="s">
        <v>118</v>
      </c>
      <c r="F13" s="18" t="s">
        <v>119</v>
      </c>
      <c r="G13" s="17" t="s">
        <v>120</v>
      </c>
      <c r="H13" s="18" t="s">
        <v>121</v>
      </c>
    </row>
    <row r="14" customFormat="false" ht="15" hidden="false" customHeight="false" outlineLevel="0" collapsed="false">
      <c r="B14" s="19" t="s">
        <v>122</v>
      </c>
      <c r="C14" s="20" t="s">
        <v>123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115</v>
      </c>
      <c r="C16" s="17" t="s">
        <v>116</v>
      </c>
      <c r="D16" s="17" t="s">
        <v>117</v>
      </c>
      <c r="E16" s="17" t="s">
        <v>118</v>
      </c>
      <c r="F16" s="18" t="s">
        <v>119</v>
      </c>
      <c r="G16" s="17" t="s">
        <v>120</v>
      </c>
      <c r="H16" s="18" t="s">
        <v>121</v>
      </c>
    </row>
    <row r="17" customFormat="false" ht="15" hidden="false" customHeight="false" outlineLevel="0" collapsed="false">
      <c r="B17" s="19" t="s">
        <v>124</v>
      </c>
      <c r="C17" s="20" t="s">
        <v>125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126</v>
      </c>
      <c r="C18" s="20" t="s">
        <v>127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128</v>
      </c>
      <c r="C19" s="20" t="s">
        <v>129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130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131</v>
      </c>
      <c r="C21" s="20" t="s">
        <v>132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133</v>
      </c>
    </row>
    <row r="24" customFormat="false" ht="15" hidden="false" customHeight="false" outlineLevel="0" collapsed="false">
      <c r="B24" s="17" t="s">
        <v>116</v>
      </c>
      <c r="C24" s="17" t="s">
        <v>134</v>
      </c>
      <c r="D24" s="17" t="s">
        <v>117</v>
      </c>
      <c r="E24" s="17" t="s">
        <v>135</v>
      </c>
      <c r="F24" s="17" t="s">
        <v>136</v>
      </c>
    </row>
    <row r="25" customFormat="false" ht="15" hidden="false" customHeight="false" outlineLevel="0" collapsed="false">
      <c r="B25" s="19" t="s">
        <v>137</v>
      </c>
      <c r="C25" s="20" t="s">
        <v>138</v>
      </c>
      <c r="D25" s="29" t="n">
        <f aca="false">MIN(tsk_PlanStart)</f>
        <v>46272</v>
      </c>
      <c r="E25" s="30" t="s">
        <v>139</v>
      </c>
      <c r="F25" s="19" t="n">
        <f aca="false">COUNTIFS(tsk_Status,StatusSummary[[#This Row],[Status]],tsk_IsLeaf,1)</f>
        <v>6</v>
      </c>
    </row>
    <row r="26" customFormat="false" ht="15" hidden="false" customHeight="false" outlineLevel="0" collapsed="false">
      <c r="B26" s="19" t="s">
        <v>140</v>
      </c>
      <c r="C26" s="20" t="s">
        <v>141</v>
      </c>
      <c r="D26" s="29" t="n">
        <f aca="false">MAX(tsk_PlanFinish)</f>
        <v>46318</v>
      </c>
      <c r="E26" s="31" t="s">
        <v>142</v>
      </c>
      <c r="F26" s="19" t="n">
        <f aca="false">COUNTIFS(tsk_Status,StatusSummary[[#This Row],[Status]],tsk_IsLeaf,1)</f>
        <v>0</v>
      </c>
    </row>
    <row r="27" customFormat="false" ht="15" hidden="false" customHeight="false" outlineLevel="0" collapsed="false">
      <c r="B27" s="19" t="s">
        <v>143</v>
      </c>
      <c r="C27" s="20" t="s">
        <v>138</v>
      </c>
      <c r="D27" s="29" t="n">
        <f aca="false">MAX(tsk_FcFinish)</f>
        <v>46324</v>
      </c>
      <c r="E27" s="32" t="s">
        <v>144</v>
      </c>
      <c r="F27" s="19" t="n">
        <f aca="false">COUNTIFS(tsk_Status,StatusSummary[[#This Row],[Status]],tsk_IsLeaf,1)</f>
        <v>1</v>
      </c>
    </row>
    <row r="28" customFormat="false" ht="15" hidden="false" customHeight="false" outlineLevel="0" collapsed="false">
      <c r="B28" s="19" t="s">
        <v>145</v>
      </c>
      <c r="C28" s="20" t="s">
        <v>138</v>
      </c>
      <c r="D28" s="33" t="n">
        <f aca="false">IFERROR(SUM(tsk_WtDone)/SUM(tsk_WtDur),0)</f>
        <v>0.905099150141643</v>
      </c>
      <c r="E28" s="34" t="s">
        <v>146</v>
      </c>
      <c r="F28" s="19" t="n">
        <f aca="false">COUNTIFS(tsk_Status,StatusSummary[[#This Row],[Status]],tsk_IsLeaf,1)</f>
        <v>2</v>
      </c>
    </row>
    <row r="29" customFormat="false" ht="15" hidden="false" customHeight="false" outlineLevel="0" collapsed="false">
      <c r="B29" s="19" t="s">
        <v>147</v>
      </c>
      <c r="C29" s="20" t="s">
        <v>138</v>
      </c>
      <c r="D29" s="33" t="n">
        <f aca="false">IFERROR(SUM(tsk_WtPlanned)/SUM(tsk_WtDur),0)</f>
        <v>1</v>
      </c>
      <c r="E29" s="35" t="s">
        <v>148</v>
      </c>
      <c r="F29" s="19" t="n">
        <f aca="false">COUNTIFS(tsk_Status,StatusSummary[[#This Row],[Status]],tsk_IsLeaf,1)</f>
        <v>0</v>
      </c>
    </row>
    <row r="30" customFormat="false" ht="15" hidden="false" customHeight="false" outlineLevel="0" collapsed="false">
      <c r="B30" s="19" t="s">
        <v>149</v>
      </c>
      <c r="C30" s="20" t="s">
        <v>150</v>
      </c>
      <c r="D30" s="36" t="n">
        <f aca="false">IF(sch_Planned&gt;0,sch_Progress/sch_Planned,"")</f>
        <v>0.905099150141643</v>
      </c>
    </row>
    <row r="31" customFormat="false" ht="15" hidden="false" customHeight="false" outlineLevel="0" collapsed="false">
      <c r="B31" s="19" t="s">
        <v>151</v>
      </c>
      <c r="C31" s="20" t="s">
        <v>138</v>
      </c>
      <c r="D31" s="37" t="n">
        <f aca="false">SUM(tsk_IsLeaf)</f>
        <v>9</v>
      </c>
    </row>
    <row r="32" customFormat="false" ht="15" hidden="false" customHeight="false" outlineLevel="0" collapsed="false">
      <c r="B32" s="19" t="s">
        <v>152</v>
      </c>
      <c r="C32" s="20" t="s">
        <v>138</v>
      </c>
      <c r="D32" s="37" t="n">
        <f aca="false">SUMPRODUCT(tsk_IsLeaf*(tsk_Duration=0)*(tsk_Name&lt;&gt;""))</f>
        <v>3</v>
      </c>
    </row>
    <row r="33" customFormat="false" ht="15" hidden="false" customHeight="false" outlineLevel="0" collapsed="false">
      <c r="B33" s="19" t="s">
        <v>153</v>
      </c>
      <c r="C33" s="20" t="s">
        <v>138</v>
      </c>
      <c r="D33" s="38" t="n">
        <f aca="false">SUMPRODUCT(tsk_Work,tsk_IsLeaf)</f>
        <v>340</v>
      </c>
    </row>
    <row r="34" customFormat="false" ht="15" hidden="false" customHeight="false" outlineLevel="0" collapsed="false">
      <c r="B34" s="19" t="s">
        <v>154</v>
      </c>
      <c r="C34" s="20" t="s">
        <v>155</v>
      </c>
      <c r="D34" s="39" t="str">
        <f aca="false">IF(COUNT(tsk_BaseStart)=0,"Not set (planned = calculated)","Set on "&amp;COUNT(tsk_BaseStart)&amp;" tasks")</f>
        <v>Set on 12 tasks</v>
      </c>
    </row>
    <row r="35" customFormat="false" ht="15" hidden="false" customHeight="false" outlineLevel="0" collapsed="false">
      <c r="B35" s="19" t="s">
        <v>156</v>
      </c>
      <c r="C35" s="20" t="s">
        <v>138</v>
      </c>
      <c r="D35" s="37" t="n">
        <f aca="false">COUNTIFS(tsk_Critical,"Yes",tsk_IsLeaf,1)</f>
        <v>3</v>
      </c>
    </row>
    <row r="36" customFormat="false" ht="15" hidden="false" customHeight="false" outlineLevel="0" collapsed="false">
      <c r="B36" s="19" t="s">
        <v>157</v>
      </c>
      <c r="C36" s="20" t="s">
        <v>158</v>
      </c>
      <c r="D36" s="37" t="n">
        <f aca="false">COUNTIF(tsk_Issues,"?*")</f>
        <v>0</v>
      </c>
    </row>
    <row r="39" customFormat="false" ht="15" hidden="false" customHeight="false" outlineLevel="0" collapsed="false">
      <c r="B39" s="17" t="s">
        <v>159</v>
      </c>
      <c r="C39" s="17" t="s">
        <v>160</v>
      </c>
    </row>
    <row r="40" customFormat="false" ht="15" hidden="false" customHeight="false" outlineLevel="0" collapsed="false">
      <c r="B40" s="20" t="str">
        <f aca="false">IFERROR(INDEX(tsk_Name,MATCH(SMALL(tsk_MilestoneKey,(ROW()-ROW(NextMilestones[[#Headers],[Next milestones (forecast)]]))),tsk_MilestoneKey,0)),"")</f>
        <v>Go-live</v>
      </c>
      <c r="C40" s="40" t="n">
        <f aca="false">IFERROR(INDEX(tsk_FcFinish,MATCH(SMALL(tsk_MilestoneKey,(ROW()-ROW(NextMilestones[[#Headers],[Next milestones (forecast)]]))),tsk_MilestoneKey,0)),"")</f>
        <v>46324</v>
      </c>
    </row>
    <row r="41" customFormat="false" ht="15" hidden="false" customHeight="false" outlineLevel="0" collapsed="false">
      <c r="B41" s="20" t="str">
        <f aca="false">IFERROR(INDEX(tsk_Name,MATCH(SMALL(tsk_MilestoneKey,(ROW()-ROW(NextMilestones[[#Headers],[Next milestones (forecast)]]))),tsk_MilestoneKey,0)),"")</f>
        <v/>
      </c>
      <c r="C41" s="40" t="str">
        <f aca="false">IFERROR(INDEX(tsk_FcFinish,MATCH(SMALL(tsk_MilestoneKey,(ROW()-ROW(NextMilestones[[#Headers],[Next milestones (forecast)]]))),tsk_MilestoneKey,0)),"")</f>
        <v/>
      </c>
    </row>
    <row r="42" customFormat="false" ht="15" hidden="false" customHeight="false" outlineLevel="0" collapsed="false">
      <c r="B42" s="20" t="str">
        <f aca="false">IFERROR(INDEX(tsk_Name,MATCH(SMALL(tsk_MilestoneKey,(ROW()-ROW(NextMilestones[[#Headers],[Next milestones (forecast)]]))),tsk_MilestoneKey,0)),"")</f>
        <v/>
      </c>
      <c r="C42" s="40" t="str">
        <f aca="false">IFERROR(INDEX(tsk_FcFinish,MATCH(SMALL(tsk_MilestoneKey,(ROW()-ROW(NextMilestones[[#Headers],[Next milestones (forecast)]]))),tsk_MilestoneKey,0)),"")</f>
        <v/>
      </c>
    </row>
    <row r="43" customFormat="false" ht="15" hidden="false" customHeight="false" outlineLevel="0" collapsed="false">
      <c r="B43" s="20" t="str">
        <f aca="false">IFERROR(INDEX(tsk_Name,MATCH(SMALL(tsk_MilestoneKey,(ROW()-ROW(NextMilestones[[#Headers],[Next milestones (forecast)]]))),tsk_MilestoneKey,0)),"")</f>
        <v/>
      </c>
      <c r="C43" s="40" t="str">
        <f aca="false">IFERROR(INDEX(tsk_FcFinish,MATCH(SMALL(tsk_MilestoneKey,(ROW()-ROW(NextMilestones[[#Headers],[Next milestones (forecast)]]))),tsk_MilestoneKey,0)),"")</f>
        <v/>
      </c>
    </row>
    <row r="44" customFormat="false" ht="15" hidden="false" customHeight="false" outlineLevel="0" collapsed="false">
      <c r="B44" s="20" t="str">
        <f aca="false">IFERROR(INDEX(tsk_Name,MATCH(SMALL(tsk_MilestoneKey,(ROW()-ROW(NextMilestones[[#Headers],[Next milestones (forecast)]]))),tsk_MilestoneKey,0)),"")</f>
        <v/>
      </c>
      <c r="C44" s="40" t="str">
        <f aca="false">IFERROR(INDEX(tsk_FcFinish,MATCH(SMALL(tsk_MilestoneKey,(ROW()-ROW(NextMilestones[[#Headers],[Next milestones (forecast)]]))),tsk_MilestoneKey,0)),"")</f>
        <v/>
      </c>
    </row>
    <row r="46" customFormat="false" ht="15" hidden="false" customHeight="false" outlineLevel="0" collapsed="false">
      <c r="B46" s="28" t="str">
        <f aca="false">"LATE TASKS (most days late first)"&amp;": "&amp;COUNT(tsk_LateKey)&amp;IF(COUNT(tsk_LateKey)&gt;ROWS(LateTasks[_Task])," (showing the first "&amp;ROWS(LateTasks[_Task])&amp;")","")</f>
        <v>LATE TASKS (most days late first): 3</v>
      </c>
    </row>
    <row r="47" customFormat="false" ht="23.85" hidden="false" customHeight="false" outlineLevel="0" collapsed="false">
      <c r="A47" s="41" t="s">
        <v>161</v>
      </c>
      <c r="B47" s="17" t="s">
        <v>162</v>
      </c>
      <c r="C47" s="17" t="s">
        <v>163</v>
      </c>
      <c r="D47" s="17" t="s">
        <v>164</v>
      </c>
      <c r="E47" s="17" t="s">
        <v>165</v>
      </c>
      <c r="F47" s="17" t="s">
        <v>135</v>
      </c>
      <c r="G47" s="17" t="s">
        <v>166</v>
      </c>
    </row>
    <row r="48" customFormat="false" ht="15" hidden="false" customHeight="false" outlineLevel="0" collapsed="false">
      <c r="A48" s="42" t="n">
        <f aca="false">IFERROR(MATCH(LARGE(tsk_LateKey,ROW()-ROW(LateTasks[[#Headers],[_Task]])),tsk_LateKey,0),"")</f>
        <v>10</v>
      </c>
      <c r="B48" s="20" t="str">
        <f aca="false">IF(LateTasks[[#This Row],[_Task]]="","",INDEX(tsk_Name,LateTasks[[#This Row],[_Task]])&amp;"")</f>
        <v>System integration testing</v>
      </c>
      <c r="C48" s="20" t="str">
        <f aca="false">IF(LateTasks[[#This Row],[_Task]]="","",INDEX(tsk_ResourceNames,LateTasks[[#This Row],[_Task]])&amp;"")</f>
        <v>Taylor Morgan, Sam Rivera[50%]</v>
      </c>
      <c r="D48" s="43" t="n">
        <f aca="false">IF(LateTasks[[#This Row],[_Task]]="","",IF(N(INDEX(tsk_FcFinish,LateTasks[[#This Row],[_Task]]))=0,"",INDEX(tsk_FcFinish,LateTasks[[#This Row],[_Task]])))</f>
        <v>46323</v>
      </c>
      <c r="E48" s="44" t="n">
        <f aca="false">IF(LateTasks[[#This Row],[_Task]]="","",INDEX(tsk_Variance,LateTasks[[#This Row],[_Task]]))</f>
        <v>4</v>
      </c>
      <c r="F48" s="20" t="str">
        <f aca="false">IF(LateTasks[[#This Row],[_Task]]="","",INDEX(tsk_Status,LateTasks[[#This Row],[_Task]])&amp;"")</f>
        <v>Behind</v>
      </c>
      <c r="G48" s="20" t="str">
        <f aca="false">IF(LateTasks[[#This Row],[_Task]]="","",INDEX(tsk_Critical,LateTasks[[#This Row],[_Task]])&amp;"")</f>
        <v>Yes</v>
      </c>
    </row>
    <row r="49" customFormat="false" ht="15" hidden="false" customHeight="false" outlineLevel="0" collapsed="false">
      <c r="A49" s="42" t="n">
        <f aca="false">IFERROR(MATCH(LARGE(tsk_LateKey,ROW()-ROW(LateTasks[[#Headers],[_Task]])),tsk_LateKey,0),"")</f>
        <v>11</v>
      </c>
      <c r="B49" s="20" t="str">
        <f aca="false">IF(LateTasks[[#This Row],[_Task]]="","",INDEX(tsk_Name,LateTasks[[#This Row],[_Task]])&amp;"")</f>
        <v>Go-live readiness review</v>
      </c>
      <c r="C49" s="20" t="str">
        <f aca="false">IF(LateTasks[[#This Row],[_Task]]="","",INDEX(tsk_ResourceNames,LateTasks[[#This Row],[_Task]])&amp;"")</f>
        <v>Priya Sharma</v>
      </c>
      <c r="D49" s="43" t="n">
        <f aca="false">IF(LateTasks[[#This Row],[_Task]]="","",IF(N(INDEX(tsk_FcFinish,LateTasks[[#This Row],[_Task]]))=0,"",INDEX(tsk_FcFinish,LateTasks[[#This Row],[_Task]])))</f>
        <v>46324</v>
      </c>
      <c r="E49" s="44" t="n">
        <f aca="false">IF(LateTasks[[#This Row],[_Task]]="","",INDEX(tsk_Variance,LateTasks[[#This Row],[_Task]]))</f>
        <v>4</v>
      </c>
      <c r="F49" s="20" t="str">
        <f aca="false">IF(LateTasks[[#This Row],[_Task]]="","",INDEX(tsk_Status,LateTasks[[#This Row],[_Task]])&amp;"")</f>
        <v>Late Start</v>
      </c>
      <c r="G49" s="20" t="str">
        <f aca="false">IF(LateTasks[[#This Row],[_Task]]="","",INDEX(tsk_Critical,LateTasks[[#This Row],[_Task]])&amp;"")</f>
        <v>Yes</v>
      </c>
    </row>
    <row r="50" customFormat="false" ht="15" hidden="false" customHeight="false" outlineLevel="0" collapsed="false">
      <c r="A50" s="42" t="n">
        <f aca="false">IFERROR(MATCH(LARGE(tsk_LateKey,ROW()-ROW(LateTasks[[#Headers],[_Task]])),tsk_LateKey,0),"")</f>
        <v>12</v>
      </c>
      <c r="B50" s="20" t="str">
        <f aca="false">IF(LateTasks[[#This Row],[_Task]]="","",INDEX(tsk_Name,LateTasks[[#This Row],[_Task]])&amp;"")</f>
        <v>Go-live</v>
      </c>
      <c r="C50" s="20" t="str">
        <f aca="false">IF(LateTasks[[#This Row],[_Task]]="","",INDEX(tsk_ResourceNames,LateTasks[[#This Row],[_Task]])&amp;"")</f>
        <v/>
      </c>
      <c r="D50" s="43" t="n">
        <f aca="false">IF(LateTasks[[#This Row],[_Task]]="","",IF(N(INDEX(tsk_FcFinish,LateTasks[[#This Row],[_Task]]))=0,"",INDEX(tsk_FcFinish,LateTasks[[#This Row],[_Task]])))</f>
        <v>46324</v>
      </c>
      <c r="E50" s="44" t="n">
        <f aca="false">IF(LateTasks[[#This Row],[_Task]]="","",INDEX(tsk_Variance,LateTasks[[#This Row],[_Task]]))</f>
        <v>4</v>
      </c>
      <c r="F50" s="20" t="str">
        <f aca="false">IF(LateTasks[[#This Row],[_Task]]="","",INDEX(tsk_Status,LateTasks[[#This Row],[_Task]])&amp;"")</f>
        <v>Late Start</v>
      </c>
      <c r="G50" s="20" t="str">
        <f aca="false">IF(LateTasks[[#This Row],[_Task]]="","",INDEX(tsk_Critical,LateTasks[[#This Row],[_Task]])&amp;"")</f>
        <v>Yes</v>
      </c>
    </row>
    <row r="51" customFormat="false" ht="15" hidden="false" customHeight="false" outlineLevel="0" collapsed="false">
      <c r="A51" s="42" t="str">
        <f aca="false">IFERROR(MATCH(LARGE(tsk_LateKey,ROW()-ROW(LateTasks[[#Headers],[_Task]])),tsk_LateKey,0),"")</f>
        <v/>
      </c>
      <c r="B51" s="20" t="str">
        <f aca="false">IF(LateTasks[[#This Row],[_Task]]="","",INDEX(tsk_Name,LateTasks[[#This Row],[_Task]])&amp;"")</f>
        <v/>
      </c>
      <c r="C51" s="20" t="str">
        <f aca="false">IF(LateTasks[[#This Row],[_Task]]="","",INDEX(tsk_ResourceNames,LateTasks[[#This Row],[_Task]])&amp;"")</f>
        <v/>
      </c>
      <c r="D51" s="43" t="str">
        <f aca="false">IF(LateTasks[[#This Row],[_Task]]="","",IF(N(INDEX(tsk_FcFinish,LateTasks[[#This Row],[_Task]]))=0,"",INDEX(tsk_FcFinish,LateTasks[[#This Row],[_Task]])))</f>
        <v/>
      </c>
      <c r="E51" s="44" t="str">
        <f aca="false">IF(LateTasks[[#This Row],[_Task]]="","",INDEX(tsk_Variance,LateTasks[[#This Row],[_Task]]))</f>
        <v/>
      </c>
      <c r="F51" s="20" t="str">
        <f aca="false">IF(LateTasks[[#This Row],[_Task]]="","",INDEX(tsk_Status,LateTasks[[#This Row],[_Task]])&amp;"")</f>
        <v/>
      </c>
      <c r="G51" s="20" t="str">
        <f aca="false">IF(LateTasks[[#This Row],[_Task]]="","",INDEX(tsk_Critical,LateTasks[[#This Row],[_Task]])&amp;"")</f>
        <v/>
      </c>
    </row>
    <row r="52" customFormat="false" ht="15" hidden="false" customHeight="false" outlineLevel="0" collapsed="false">
      <c r="A52" s="42" t="str">
        <f aca="false">IFERROR(MATCH(LARGE(tsk_LateKey,ROW()-ROW(LateTasks[[#Headers],[_Task]])),tsk_LateKey,0),"")</f>
        <v/>
      </c>
      <c r="B52" s="20" t="str">
        <f aca="false">IF(LateTasks[[#This Row],[_Task]]="","",INDEX(tsk_Name,LateTasks[[#This Row],[_Task]])&amp;"")</f>
        <v/>
      </c>
      <c r="C52" s="20" t="str">
        <f aca="false">IF(LateTasks[[#This Row],[_Task]]="","",INDEX(tsk_ResourceNames,LateTasks[[#This Row],[_Task]])&amp;"")</f>
        <v/>
      </c>
      <c r="D52" s="43" t="str">
        <f aca="false">IF(LateTasks[[#This Row],[_Task]]="","",IF(N(INDEX(tsk_FcFinish,LateTasks[[#This Row],[_Task]]))=0,"",INDEX(tsk_FcFinish,LateTasks[[#This Row],[_Task]])))</f>
        <v/>
      </c>
      <c r="E52" s="44" t="str">
        <f aca="false">IF(LateTasks[[#This Row],[_Task]]="","",INDEX(tsk_Variance,LateTasks[[#This Row],[_Task]]))</f>
        <v/>
      </c>
      <c r="F52" s="20" t="str">
        <f aca="false">IF(LateTasks[[#This Row],[_Task]]="","",INDEX(tsk_Status,LateTasks[[#This Row],[_Task]])&amp;"")</f>
        <v/>
      </c>
      <c r="G52" s="20" t="str">
        <f aca="false">IF(LateTasks[[#This Row],[_Task]]="","",INDEX(tsk_Critical,LateTasks[[#This Row],[_Task]])&amp;"")</f>
        <v/>
      </c>
    </row>
    <row r="54" customFormat="false" ht="15" hidden="false" customHeight="false" outlineLevel="0" collapsed="false">
      <c r="B54" s="28"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1" t="s">
        <v>161</v>
      </c>
      <c r="B55" s="17" t="s">
        <v>162</v>
      </c>
      <c r="C55" s="17" t="s">
        <v>163</v>
      </c>
      <c r="D55" s="17" t="s">
        <v>164</v>
      </c>
      <c r="E55" s="17" t="s">
        <v>167</v>
      </c>
      <c r="F55" s="17" t="s">
        <v>168</v>
      </c>
      <c r="G55" s="17" t="s">
        <v>166</v>
      </c>
    </row>
    <row r="56" customFormat="false" ht="15" hidden="false" customHeight="false" outlineLevel="0" collapsed="false">
      <c r="A56" s="42" t="n">
        <f aca="false">IFERROR(MATCH(SMALL(tsk_DueSoonKey,ROW()-ROW(DueSoon[[#Headers],[_Task]])),tsk_DueSoonKey,0),"")</f>
        <v>10</v>
      </c>
      <c r="B56" s="20" t="str">
        <f aca="false">IF(DueSoon[[#This Row],[_Task]]="","",INDEX(tsk_Name,DueSoon[[#This Row],[_Task]])&amp;"")</f>
        <v>System integration testing</v>
      </c>
      <c r="C56" s="20" t="str">
        <f aca="false">IF(DueSoon[[#This Row],[_Task]]="","",INDEX(tsk_ResourceNames,DueSoon[[#This Row],[_Task]])&amp;"")</f>
        <v>Taylor Morgan, Sam Rivera[50%]</v>
      </c>
      <c r="D56" s="43" t="n">
        <f aca="false">IF(DueSoon[[#This Row],[_Task]]="","",IF(N(INDEX(tsk_FcFinish,DueSoon[[#This Row],[_Task]]))=0,"",INDEX(tsk_FcFinish,DueSoon[[#This Row],[_Task]])))</f>
        <v>46323</v>
      </c>
      <c r="E56" s="45" t="n">
        <f aca="false">IF(DueSoon[[#This Row],[_Task]]="","",INDEX(tsk_Progress,DueSoon[[#This Row],[_Task]]))</f>
        <v>0.85</v>
      </c>
      <c r="F56" s="20" t="str">
        <f aca="false">IF(DueSoon[[#This Row],[_Task]]="","",INDEX(tsk_DeadlineCheck,DueSoon[[#This Row],[_Task]])&amp;"")</f>
        <v/>
      </c>
      <c r="G56" s="20" t="str">
        <f aca="false">IF(DueSoon[[#This Row],[_Task]]="","",INDEX(tsk_Critical,DueSoon[[#This Row],[_Task]])&amp;"")</f>
        <v>Yes</v>
      </c>
    </row>
    <row r="57" customFormat="false" ht="15" hidden="false" customHeight="false" outlineLevel="0" collapsed="false">
      <c r="A57" s="42" t="n">
        <f aca="false">IFERROR(MATCH(SMALL(tsk_DueSoonKey,ROW()-ROW(DueSoon[[#Headers],[_Task]])),tsk_DueSoonKey,0),"")</f>
        <v>11</v>
      </c>
      <c r="B57" s="20" t="str">
        <f aca="false">IF(DueSoon[[#This Row],[_Task]]="","",INDEX(tsk_Name,DueSoon[[#This Row],[_Task]])&amp;"")</f>
        <v>Go-live readiness review</v>
      </c>
      <c r="C57" s="20" t="str">
        <f aca="false">IF(DueSoon[[#This Row],[_Task]]="","",INDEX(tsk_ResourceNames,DueSoon[[#This Row],[_Task]])&amp;"")</f>
        <v>Priya Sharma</v>
      </c>
      <c r="D57" s="43" t="n">
        <f aca="false">IF(DueSoon[[#This Row],[_Task]]="","",IF(N(INDEX(tsk_FcFinish,DueSoon[[#This Row],[_Task]]))=0,"",INDEX(tsk_FcFinish,DueSoon[[#This Row],[_Task]])))</f>
        <v>46324</v>
      </c>
      <c r="E57" s="45" t="n">
        <f aca="false">IF(DueSoon[[#This Row],[_Task]]="","",INDEX(tsk_Progress,DueSoon[[#This Row],[_Task]]))</f>
        <v>0</v>
      </c>
      <c r="F57" s="20" t="str">
        <f aca="false">IF(DueSoon[[#This Row],[_Task]]="","",INDEX(tsk_DeadlineCheck,DueSoon[[#This Row],[_Task]])&amp;"")</f>
        <v/>
      </c>
      <c r="G57" s="20" t="str">
        <f aca="false">IF(DueSoon[[#This Row],[_Task]]="","",INDEX(tsk_Critical,DueSoon[[#This Row],[_Task]])&amp;"")</f>
        <v>Yes</v>
      </c>
    </row>
    <row r="58" customFormat="false" ht="15" hidden="false" customHeight="false" outlineLevel="0" collapsed="false">
      <c r="A58" s="42" t="n">
        <f aca="false">IFERROR(MATCH(SMALL(tsk_DueSoonKey,ROW()-ROW(DueSoon[[#Headers],[_Task]])),tsk_DueSoonKey,0),"")</f>
        <v>12</v>
      </c>
      <c r="B58" s="20" t="str">
        <f aca="false">IF(DueSoon[[#This Row],[_Task]]="","",INDEX(tsk_Name,DueSoon[[#This Row],[_Task]])&amp;"")</f>
        <v>Go-live</v>
      </c>
      <c r="C58" s="20" t="str">
        <f aca="false">IF(DueSoon[[#This Row],[_Task]]="","",INDEX(tsk_ResourceNames,DueSoon[[#This Row],[_Task]])&amp;"")</f>
        <v/>
      </c>
      <c r="D58" s="43" t="n">
        <f aca="false">IF(DueSoon[[#This Row],[_Task]]="","",IF(N(INDEX(tsk_FcFinish,DueSoon[[#This Row],[_Task]]))=0,"",INDEX(tsk_FcFinish,DueSoon[[#This Row],[_Task]])))</f>
        <v>46324</v>
      </c>
      <c r="E58" s="45" t="n">
        <f aca="false">IF(DueSoon[[#This Row],[_Task]]="","",INDEX(tsk_Progress,DueSoon[[#This Row],[_Task]]))</f>
        <v>0</v>
      </c>
      <c r="F58" s="20" t="str">
        <f aca="false">IF(DueSoon[[#This Row],[_Task]]="","",INDEX(tsk_DeadlineCheck,DueSoon[[#This Row],[_Task]])&amp;"")</f>
        <v>OK</v>
      </c>
      <c r="G58" s="20" t="str">
        <f aca="false">IF(DueSoon[[#This Row],[_Task]]="","",INDEX(tsk_Critical,DueSoon[[#This Row],[_Task]])&amp;"")</f>
        <v>Yes</v>
      </c>
    </row>
    <row r="59" customFormat="false" ht="15" hidden="false" customHeight="false" outlineLevel="0" collapsed="false">
      <c r="A59" s="42" t="str">
        <f aca="false">IFERROR(MATCH(SMALL(tsk_DueSoonKey,ROW()-ROW(DueSoon[[#Headers],[_Task]])),tsk_DueSoonKey,0),"")</f>
        <v/>
      </c>
      <c r="B59" s="20" t="str">
        <f aca="false">IF(DueSoon[[#This Row],[_Task]]="","",INDEX(tsk_Name,DueSoon[[#This Row],[_Task]])&amp;"")</f>
        <v/>
      </c>
      <c r="C59" s="20" t="str">
        <f aca="false">IF(DueSoon[[#This Row],[_Task]]="","",INDEX(tsk_ResourceNames,DueSoon[[#This Row],[_Task]])&amp;"")</f>
        <v/>
      </c>
      <c r="D59" s="43" t="str">
        <f aca="false">IF(DueSoon[[#This Row],[_Task]]="","",IF(N(INDEX(tsk_FcFinish,DueSoon[[#This Row],[_Task]]))=0,"",INDEX(tsk_FcFinish,DueSoon[[#This Row],[_Task]])))</f>
        <v/>
      </c>
      <c r="E59" s="45" t="str">
        <f aca="false">IF(DueSoon[[#This Row],[_Task]]="","",INDEX(tsk_Progress,DueSoon[[#This Row],[_Task]]))</f>
        <v/>
      </c>
      <c r="F59" s="20" t="str">
        <f aca="false">IF(DueSoon[[#This Row],[_Task]]="","",INDEX(tsk_DeadlineCheck,DueSoon[[#This Row],[_Task]])&amp;"")</f>
        <v/>
      </c>
      <c r="G59" s="20" t="str">
        <f aca="false">IF(DueSoon[[#This Row],[_Task]]="","",INDEX(tsk_Critical,DueSoon[[#This Row],[_Task]])&amp;"")</f>
        <v/>
      </c>
    </row>
    <row r="60" customFormat="false" ht="15" hidden="false" customHeight="false" outlineLevel="0" collapsed="false">
      <c r="A60" s="42" t="str">
        <f aca="false">IFERROR(MATCH(SMALL(tsk_DueSoonKey,ROW()-ROW(DueSoon[[#Headers],[_Task]])),tsk_DueSoonKey,0),"")</f>
        <v/>
      </c>
      <c r="B60" s="20" t="str">
        <f aca="false">IF(DueSoon[[#This Row],[_Task]]="","",INDEX(tsk_Name,DueSoon[[#This Row],[_Task]])&amp;"")</f>
        <v/>
      </c>
      <c r="C60" s="20" t="str">
        <f aca="false">IF(DueSoon[[#This Row],[_Task]]="","",INDEX(tsk_ResourceNames,DueSoon[[#This Row],[_Task]])&amp;"")</f>
        <v/>
      </c>
      <c r="D60" s="43" t="str">
        <f aca="false">IF(DueSoon[[#This Row],[_Task]]="","",IF(N(INDEX(tsk_FcFinish,DueSoon[[#This Row],[_Task]]))=0,"",INDEX(tsk_FcFinish,DueSoon[[#This Row],[_Task]])))</f>
        <v/>
      </c>
      <c r="E60" s="45" t="str">
        <f aca="false">IF(DueSoon[[#This Row],[_Task]]="","",INDEX(tsk_Progress,DueSoon[[#This Row],[_Task]]))</f>
        <v/>
      </c>
      <c r="F60" s="20" t="str">
        <f aca="false">IF(DueSoon[[#This Row],[_Task]]="","",INDEX(tsk_DeadlineCheck,DueSoon[[#This Row],[_Task]])&amp;"")</f>
        <v/>
      </c>
      <c r="G60" s="20" t="str">
        <f aca="false">IF(DueSoon[[#This Row],[_Task]]="","",INDEX(tsk_Critical,DueSoon[[#This Row],[_Task]])&amp;"")</f>
        <v/>
      </c>
    </row>
    <row r="62" customFormat="false" ht="15" hidden="false" customHeight="false" outlineLevel="0" collapsed="false">
      <c r="B62"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1" t="s">
        <v>161</v>
      </c>
      <c r="B63" s="17" t="s">
        <v>162</v>
      </c>
      <c r="C63" s="17" t="s">
        <v>163</v>
      </c>
      <c r="D63" s="17" t="s">
        <v>169</v>
      </c>
      <c r="E63" s="17" t="s">
        <v>60</v>
      </c>
      <c r="F63" s="17" t="s">
        <v>73</v>
      </c>
      <c r="G63" s="17" t="s">
        <v>166</v>
      </c>
    </row>
    <row r="64" customFormat="false" ht="15" hidden="false" customHeight="false" outlineLevel="0" collapsed="false">
      <c r="A64" s="42" t="n">
        <f aca="false">IFERROR(MATCH(SMALL(tsk_StartSoonKey,ROW()-ROW(StartingSoon[[#Headers],[_Task]])),tsk_StartSoonKey,0),"")</f>
        <v>11</v>
      </c>
      <c r="B64" s="20" t="str">
        <f aca="false">IF(StartingSoon[[#This Row],[_Task]]="","",INDEX(tsk_Name,StartingSoon[[#This Row],[_Task]])&amp;"")</f>
        <v>Go-live readiness review</v>
      </c>
      <c r="C64" s="20" t="str">
        <f aca="false">IF(StartingSoon[[#This Row],[_Task]]="","",INDEX(tsk_ResourceNames,StartingSoon[[#This Row],[_Task]])&amp;"")</f>
        <v>Priya Sharma</v>
      </c>
      <c r="D64" s="43" t="n">
        <f aca="false">IF(StartingSoon[[#This Row],[_Task]]="","",IF(N(INDEX(tsk_FcStart,StartingSoon[[#This Row],[_Task]]))=0,"",INDEX(tsk_FcStart,StartingSoon[[#This Row],[_Task]])))</f>
        <v>46324</v>
      </c>
      <c r="E64" s="46" t="n">
        <f aca="false">IF(StartingSoon[[#This Row],[_Task]]="","",INDEX(tsk_Duration,StartingSoon[[#This Row],[_Task]]))</f>
        <v>1</v>
      </c>
      <c r="F64" s="20" t="str">
        <f aca="false">IF(StartingSoon[[#This Row],[_Task]]="","",INDEX(tsk_Predecessors,StartingSoon[[#This Row],[_Task]])&amp;"")</f>
        <v>10</v>
      </c>
      <c r="G64" s="20" t="str">
        <f aca="false">IF(StartingSoon[[#This Row],[_Task]]="","",INDEX(tsk_Critical,StartingSoon[[#This Row],[_Task]])&amp;"")</f>
        <v>Yes</v>
      </c>
    </row>
    <row r="65" customFormat="false" ht="15" hidden="false" customHeight="false" outlineLevel="0" collapsed="false">
      <c r="A65" s="42" t="n">
        <f aca="false">IFERROR(MATCH(SMALL(tsk_StartSoonKey,ROW()-ROW(StartingSoon[[#Headers],[_Task]])),tsk_StartSoonKey,0),"")</f>
        <v>12</v>
      </c>
      <c r="B65" s="20" t="str">
        <f aca="false">IF(StartingSoon[[#This Row],[_Task]]="","",INDEX(tsk_Name,StartingSoon[[#This Row],[_Task]])&amp;"")</f>
        <v>Go-live</v>
      </c>
      <c r="C65" s="20" t="str">
        <f aca="false">IF(StartingSoon[[#This Row],[_Task]]="","",INDEX(tsk_ResourceNames,StartingSoon[[#This Row],[_Task]])&amp;"")</f>
        <v/>
      </c>
      <c r="D65" s="43" t="n">
        <f aca="false">IF(StartingSoon[[#This Row],[_Task]]="","",IF(N(INDEX(tsk_FcStart,StartingSoon[[#This Row],[_Task]]))=0,"",INDEX(tsk_FcStart,StartingSoon[[#This Row],[_Task]])))</f>
        <v>46324</v>
      </c>
      <c r="E65" s="46" t="n">
        <f aca="false">IF(StartingSoon[[#This Row],[_Task]]="","",INDEX(tsk_Duration,StartingSoon[[#This Row],[_Task]]))</f>
        <v>0</v>
      </c>
      <c r="F65" s="20" t="str">
        <f aca="false">IF(StartingSoon[[#This Row],[_Task]]="","",INDEX(tsk_Predecessors,StartingSoon[[#This Row],[_Task]])&amp;"")</f>
        <v>11</v>
      </c>
      <c r="G65" s="20" t="str">
        <f aca="false">IF(StartingSoon[[#This Row],[_Task]]="","",INDEX(tsk_Critical,StartingSoon[[#This Row],[_Task]])&amp;"")</f>
        <v>Yes</v>
      </c>
    </row>
    <row r="66" customFormat="false" ht="15" hidden="false" customHeight="false" outlineLevel="0" collapsed="false">
      <c r="A66" s="42" t="str">
        <f aca="false">IFERROR(MATCH(SMALL(tsk_StartSoonKey,ROW()-ROW(StartingSoon[[#Headers],[_Task]])),tsk_StartSoonKey,0),"")</f>
        <v/>
      </c>
      <c r="B66" s="20" t="str">
        <f aca="false">IF(StartingSoon[[#This Row],[_Task]]="","",INDEX(tsk_Name,StartingSoon[[#This Row],[_Task]])&amp;"")</f>
        <v/>
      </c>
      <c r="C66" s="20" t="str">
        <f aca="false">IF(StartingSoon[[#This Row],[_Task]]="","",INDEX(tsk_ResourceNames,StartingSoon[[#This Row],[_Task]])&amp;"")</f>
        <v/>
      </c>
      <c r="D66" s="43" t="str">
        <f aca="false">IF(StartingSoon[[#This Row],[_Task]]="","",IF(N(INDEX(tsk_FcStart,StartingSoon[[#This Row],[_Task]]))=0,"",INDEX(tsk_FcStart,StartingSoon[[#This Row],[_Task]])))</f>
        <v/>
      </c>
      <c r="E66" s="46" t="str">
        <f aca="false">IF(StartingSoon[[#This Row],[_Task]]="","",INDEX(tsk_Duration,StartingSoon[[#This Row],[_Task]]))</f>
        <v/>
      </c>
      <c r="F66" s="20" t="str">
        <f aca="false">IF(StartingSoon[[#This Row],[_Task]]="","",INDEX(tsk_Predecessors,StartingSoon[[#This Row],[_Task]])&amp;"")</f>
        <v/>
      </c>
      <c r="G66" s="20" t="str">
        <f aca="false">IF(StartingSoon[[#This Row],[_Task]]="","",INDEX(tsk_Critical,StartingSoon[[#This Row],[_Task]])&amp;"")</f>
        <v/>
      </c>
    </row>
    <row r="67" customFormat="false" ht="15" hidden="false" customHeight="false" outlineLevel="0" collapsed="false">
      <c r="A67" s="42" t="str">
        <f aca="false">IFERROR(MATCH(SMALL(tsk_StartSoonKey,ROW()-ROW(StartingSoon[[#Headers],[_Task]])),tsk_StartSoonKey,0),"")</f>
        <v/>
      </c>
      <c r="B67" s="20" t="str">
        <f aca="false">IF(StartingSoon[[#This Row],[_Task]]="","",INDEX(tsk_Name,StartingSoon[[#This Row],[_Task]])&amp;"")</f>
        <v/>
      </c>
      <c r="C67" s="20" t="str">
        <f aca="false">IF(StartingSoon[[#This Row],[_Task]]="","",INDEX(tsk_ResourceNames,StartingSoon[[#This Row],[_Task]])&amp;"")</f>
        <v/>
      </c>
      <c r="D67" s="43" t="str">
        <f aca="false">IF(StartingSoon[[#This Row],[_Task]]="","",IF(N(INDEX(tsk_FcStart,StartingSoon[[#This Row],[_Task]]))=0,"",INDEX(tsk_FcStart,StartingSoon[[#This Row],[_Task]])))</f>
        <v/>
      </c>
      <c r="E67" s="46" t="str">
        <f aca="false">IF(StartingSoon[[#This Row],[_Task]]="","",INDEX(tsk_Duration,StartingSoon[[#This Row],[_Task]]))</f>
        <v/>
      </c>
      <c r="F67" s="20" t="str">
        <f aca="false">IF(StartingSoon[[#This Row],[_Task]]="","",INDEX(tsk_Predecessors,StartingSoon[[#This Row],[_Task]])&amp;"")</f>
        <v/>
      </c>
      <c r="G67" s="20" t="str">
        <f aca="false">IF(StartingSoon[[#This Row],[_Task]]="","",INDEX(tsk_Critical,StartingSoon[[#This Row],[_Task]])&amp;"")</f>
        <v/>
      </c>
    </row>
    <row r="68" customFormat="false" ht="15" hidden="false" customHeight="false" outlineLevel="0" collapsed="false">
      <c r="A68" s="42" t="str">
        <f aca="false">IFERROR(MATCH(SMALL(tsk_StartSoonKey,ROW()-ROW(StartingSoon[[#Headers],[_Task]])),tsk_StartSoonKey,0),"")</f>
        <v/>
      </c>
      <c r="B68" s="20" t="str">
        <f aca="false">IF(StartingSoon[[#This Row],[_Task]]="","",INDEX(tsk_Name,StartingSoon[[#This Row],[_Task]])&amp;"")</f>
        <v/>
      </c>
      <c r="C68" s="20" t="str">
        <f aca="false">IF(StartingSoon[[#This Row],[_Task]]="","",INDEX(tsk_ResourceNames,StartingSoon[[#This Row],[_Task]])&amp;"")</f>
        <v/>
      </c>
      <c r="D68" s="43" t="str">
        <f aca="false">IF(StartingSoon[[#This Row],[_Task]]="","",IF(N(INDEX(tsk_FcStart,StartingSoon[[#This Row],[_Task]]))=0,"",INDEX(tsk_FcStart,StartingSoon[[#This Row],[_Task]])))</f>
        <v/>
      </c>
      <c r="E68" s="46" t="str">
        <f aca="false">IF(StartingSoon[[#This Row],[_Task]]="","",INDEX(tsk_Duration,StartingSoon[[#This Row],[_Task]]))</f>
        <v/>
      </c>
      <c r="F68" s="20" t="str">
        <f aca="false">IF(StartingSoon[[#This Row],[_Task]]="","",INDEX(tsk_Predecessors,StartingSoon[[#This Row],[_Task]])&amp;"")</f>
        <v/>
      </c>
      <c r="G68" s="20" t="str">
        <f aca="false">IF(StartingSoon[[#This Row],[_Task]]="","",INDEX(tsk_Critical,StartingSoon[[#This Row],[_Task]])&amp;"")</f>
        <v/>
      </c>
    </row>
    <row r="70" customFormat="false" ht="15" hidden="false" customHeight="false" outlineLevel="0" collapsed="false">
      <c r="B70" s="28" t="str">
        <f aca="false">"OPEN CRITICAL TASKS (by start)"&amp;": "&amp;COUNT(tsk_CriticalKey)&amp;IF(COUNT(tsk_CriticalKey)&gt;ROWS(CriticalTasks[_Task])," (showing the first "&amp;ROWS(CriticalTasks[_Task])&amp;")","")</f>
        <v>OPEN CRITICAL TASKS (by start): 3</v>
      </c>
    </row>
    <row r="71" customFormat="false" ht="23.85" hidden="false" customHeight="false" outlineLevel="0" collapsed="false">
      <c r="A71" s="41" t="s">
        <v>161</v>
      </c>
      <c r="B71" s="17" t="s">
        <v>162</v>
      </c>
      <c r="C71" s="17" t="s">
        <v>163</v>
      </c>
      <c r="D71" s="17" t="s">
        <v>169</v>
      </c>
      <c r="E71" s="17" t="s">
        <v>170</v>
      </c>
      <c r="F71" s="17" t="s">
        <v>168</v>
      </c>
      <c r="G71" s="17" t="s">
        <v>164</v>
      </c>
    </row>
    <row r="72" customFormat="false" ht="15" hidden="false" customHeight="false" outlineLevel="0" collapsed="false">
      <c r="A72" s="42" t="n">
        <f aca="false">IFERROR(MATCH(SMALL(tsk_CriticalKey,ROW()-ROW(CriticalTasks[[#Headers],[_Task]])),tsk_CriticalKey,0),"")</f>
        <v>10</v>
      </c>
      <c r="B72" s="20" t="str">
        <f aca="false">IF(CriticalTasks[[#This Row],[_Task]]="","",INDEX(tsk_Name,CriticalTasks[[#This Row],[_Task]])&amp;"")</f>
        <v>System integration testing</v>
      </c>
      <c r="C72" s="20" t="str">
        <f aca="false">IF(CriticalTasks[[#This Row],[_Task]]="","",INDEX(tsk_ResourceNames,CriticalTasks[[#This Row],[_Task]])&amp;"")</f>
        <v>Taylor Morgan, Sam Rivera[50%]</v>
      </c>
      <c r="D72" s="43" t="n">
        <f aca="false">IF(CriticalTasks[[#This Row],[_Task]]="","",IF(N(INDEX(tsk_FcStart,CriticalTasks[[#This Row],[_Task]]))=0,"",INDEX(tsk_FcStart,CriticalTasks[[#This Row],[_Task]])))</f>
        <v>46302</v>
      </c>
      <c r="E72" s="46" t="n">
        <f aca="false">IF(CriticalTasks[[#This Row],[_Task]]="","",INDEX(tsk_TotalSlack,CriticalTasks[[#This Row],[_Task]]))</f>
        <v>0</v>
      </c>
      <c r="F72" s="20" t="str">
        <f aca="false">IF(CriticalTasks[[#This Row],[_Task]]="","",INDEX(tsk_DeadlineCheck,CriticalTasks[[#This Row],[_Task]])&amp;"")</f>
        <v/>
      </c>
      <c r="G72" s="43" t="n">
        <f aca="false">IF(CriticalTasks[[#This Row],[_Task]]="","",IF(N(INDEX(tsk_FcFinish,CriticalTasks[[#This Row],[_Task]]))=0,"",INDEX(tsk_FcFinish,CriticalTasks[[#This Row],[_Task]])))</f>
        <v>46323</v>
      </c>
    </row>
    <row r="73" customFormat="false" ht="15" hidden="false" customHeight="false" outlineLevel="0" collapsed="false">
      <c r="A73" s="42" t="n">
        <f aca="false">IFERROR(MATCH(SMALL(tsk_CriticalKey,ROW()-ROW(CriticalTasks[[#Headers],[_Task]])),tsk_CriticalKey,0),"")</f>
        <v>11</v>
      </c>
      <c r="B73" s="20" t="str">
        <f aca="false">IF(CriticalTasks[[#This Row],[_Task]]="","",INDEX(tsk_Name,CriticalTasks[[#This Row],[_Task]])&amp;"")</f>
        <v>Go-live readiness review</v>
      </c>
      <c r="C73" s="20" t="str">
        <f aca="false">IF(CriticalTasks[[#This Row],[_Task]]="","",INDEX(tsk_ResourceNames,CriticalTasks[[#This Row],[_Task]])&amp;"")</f>
        <v>Priya Sharma</v>
      </c>
      <c r="D73" s="43" t="n">
        <f aca="false">IF(CriticalTasks[[#This Row],[_Task]]="","",IF(N(INDEX(tsk_FcStart,CriticalTasks[[#This Row],[_Task]]))=0,"",INDEX(tsk_FcStart,CriticalTasks[[#This Row],[_Task]])))</f>
        <v>46324</v>
      </c>
      <c r="E73" s="46" t="n">
        <f aca="false">IF(CriticalTasks[[#This Row],[_Task]]="","",INDEX(tsk_TotalSlack,CriticalTasks[[#This Row],[_Task]]))</f>
        <v>0</v>
      </c>
      <c r="F73" s="20" t="str">
        <f aca="false">IF(CriticalTasks[[#This Row],[_Task]]="","",INDEX(tsk_DeadlineCheck,CriticalTasks[[#This Row],[_Task]])&amp;"")</f>
        <v/>
      </c>
      <c r="G73" s="43" t="n">
        <f aca="false">IF(CriticalTasks[[#This Row],[_Task]]="","",IF(N(INDEX(tsk_FcFinish,CriticalTasks[[#This Row],[_Task]]))=0,"",INDEX(tsk_FcFinish,CriticalTasks[[#This Row],[_Task]])))</f>
        <v>46324</v>
      </c>
    </row>
    <row r="74" customFormat="false" ht="15" hidden="false" customHeight="false" outlineLevel="0" collapsed="false">
      <c r="A74" s="42" t="n">
        <f aca="false">IFERROR(MATCH(SMALL(tsk_CriticalKey,ROW()-ROW(CriticalTasks[[#Headers],[_Task]])),tsk_CriticalKey,0),"")</f>
        <v>12</v>
      </c>
      <c r="B74" s="20" t="str">
        <f aca="false">IF(CriticalTasks[[#This Row],[_Task]]="","",INDEX(tsk_Name,CriticalTasks[[#This Row],[_Task]])&amp;"")</f>
        <v>Go-live</v>
      </c>
      <c r="C74" s="20" t="str">
        <f aca="false">IF(CriticalTasks[[#This Row],[_Task]]="","",INDEX(tsk_ResourceNames,CriticalTasks[[#This Row],[_Task]])&amp;"")</f>
        <v/>
      </c>
      <c r="D74" s="43" t="n">
        <f aca="false">IF(CriticalTasks[[#This Row],[_Task]]="","",IF(N(INDEX(tsk_FcStart,CriticalTasks[[#This Row],[_Task]]))=0,"",INDEX(tsk_FcStart,CriticalTasks[[#This Row],[_Task]])))</f>
        <v>46324</v>
      </c>
      <c r="E74" s="46" t="n">
        <f aca="false">IF(CriticalTasks[[#This Row],[_Task]]="","",INDEX(tsk_TotalSlack,CriticalTasks[[#This Row],[_Task]]))</f>
        <v>0</v>
      </c>
      <c r="F74" s="20" t="str">
        <f aca="false">IF(CriticalTasks[[#This Row],[_Task]]="","",INDEX(tsk_DeadlineCheck,CriticalTasks[[#This Row],[_Task]])&amp;"")</f>
        <v>OK</v>
      </c>
      <c r="G74" s="43" t="n">
        <f aca="false">IF(CriticalTasks[[#This Row],[_Task]]="","",IF(N(INDEX(tsk_FcFinish,CriticalTasks[[#This Row],[_Task]]))=0,"",INDEX(tsk_FcFinish,CriticalTasks[[#This Row],[_Task]])))</f>
        <v>46324</v>
      </c>
    </row>
    <row r="75" customFormat="false" ht="15" hidden="false" customHeight="false" outlineLevel="0" collapsed="false">
      <c r="A75" s="42" t="str">
        <f aca="false">IFERROR(MATCH(SMALL(tsk_CriticalKey,ROW()-ROW(CriticalTasks[[#Headers],[_Task]])),tsk_CriticalKey,0),"")</f>
        <v/>
      </c>
      <c r="B75" s="20" t="str">
        <f aca="false">IF(CriticalTasks[[#This Row],[_Task]]="","",INDEX(tsk_Name,CriticalTasks[[#This Row],[_Task]])&amp;"")</f>
        <v/>
      </c>
      <c r="C75" s="20" t="str">
        <f aca="false">IF(CriticalTasks[[#This Row],[_Task]]="","",INDEX(tsk_ResourceNames,CriticalTasks[[#This Row],[_Task]])&amp;"")</f>
        <v/>
      </c>
      <c r="D75" s="43" t="str">
        <f aca="false">IF(CriticalTasks[[#This Row],[_Task]]="","",IF(N(INDEX(tsk_FcStart,CriticalTasks[[#This Row],[_Task]]))=0,"",INDEX(tsk_FcStart,CriticalTasks[[#This Row],[_Task]])))</f>
        <v/>
      </c>
      <c r="E75" s="46" t="str">
        <f aca="false">IF(CriticalTasks[[#This Row],[_Task]]="","",INDEX(tsk_TotalSlack,CriticalTasks[[#This Row],[_Task]]))</f>
        <v/>
      </c>
      <c r="F75" s="20" t="str">
        <f aca="false">IF(CriticalTasks[[#This Row],[_Task]]="","",INDEX(tsk_DeadlineCheck,CriticalTasks[[#This Row],[_Task]])&amp;"")</f>
        <v/>
      </c>
      <c r="G75" s="43" t="str">
        <f aca="false">IF(CriticalTasks[[#This Row],[_Task]]="","",IF(N(INDEX(tsk_FcFinish,CriticalTasks[[#This Row],[_Task]]))=0,"",INDEX(tsk_FcFinish,CriticalTasks[[#This Row],[_Task]])))</f>
        <v/>
      </c>
    </row>
    <row r="76" customFormat="false" ht="15" hidden="false" customHeight="false" outlineLevel="0" collapsed="false">
      <c r="A76" s="42" t="str">
        <f aca="false">IFERROR(MATCH(SMALL(tsk_CriticalKey,ROW()-ROW(CriticalTasks[[#Headers],[_Task]])),tsk_CriticalKey,0),"")</f>
        <v/>
      </c>
      <c r="B76" s="20" t="str">
        <f aca="false">IF(CriticalTasks[[#This Row],[_Task]]="","",INDEX(tsk_Name,CriticalTasks[[#This Row],[_Task]])&amp;"")</f>
        <v/>
      </c>
      <c r="C76" s="20" t="str">
        <f aca="false">IF(CriticalTasks[[#This Row],[_Task]]="","",INDEX(tsk_ResourceNames,CriticalTasks[[#This Row],[_Task]])&amp;"")</f>
        <v/>
      </c>
      <c r="D76" s="43" t="str">
        <f aca="false">IF(CriticalTasks[[#This Row],[_Task]]="","",IF(N(INDEX(tsk_FcStart,CriticalTasks[[#This Row],[_Task]]))=0,"",INDEX(tsk_FcStart,CriticalTasks[[#This Row],[_Task]])))</f>
        <v/>
      </c>
      <c r="E76" s="46" t="str">
        <f aca="false">IF(CriticalTasks[[#This Row],[_Task]]="","",INDEX(tsk_TotalSlack,CriticalTasks[[#This Row],[_Task]]))</f>
        <v/>
      </c>
      <c r="F76" s="20" t="str">
        <f aca="false">IF(CriticalTasks[[#This Row],[_Task]]="","",INDEX(tsk_DeadlineCheck,CriticalTasks[[#This Row],[_Task]])&amp;"")</f>
        <v/>
      </c>
      <c r="G76" s="43" t="str">
        <f aca="false">IF(CriticalTasks[[#This Row],[_Task]]="","",IF(N(INDEX(tsk_FcFinish,CriticalTasks[[#This Row],[_Task]]))=0,"",INDEX(tsk_FcFinish,CriticalTasks[[#This Row],[_Task]])))</f>
        <v/>
      </c>
    </row>
    <row r="78" customFormat="false" ht="15" hidden="false" customHeight="false" outlineLevel="0" collapsed="false">
      <c r="B78" s="28" t="s">
        <v>171</v>
      </c>
    </row>
    <row r="79" customFormat="false" ht="15" hidden="false" customHeight="false" outlineLevel="0" collapsed="false">
      <c r="B79" s="17" t="s">
        <v>172</v>
      </c>
      <c r="C79" s="18" t="s">
        <v>173</v>
      </c>
    </row>
    <row r="80" customFormat="false" ht="36" hidden="false" customHeight="true" outlineLevel="0" collapsed="false">
      <c r="B80" s="47" t="s">
        <v>174</v>
      </c>
      <c r="C80" s="48"/>
    </row>
    <row r="81" customFormat="false" ht="36" hidden="false" customHeight="true" outlineLevel="0" collapsed="false">
      <c r="B81" s="47" t="s">
        <v>175</v>
      </c>
      <c r="C81" s="48"/>
    </row>
    <row r="82" customFormat="false" ht="36" hidden="false" customHeight="true" outlineLevel="0" collapsed="false">
      <c r="B82" s="47" t="s">
        <v>176</v>
      </c>
      <c r="C82" s="48"/>
    </row>
    <row r="83" customFormat="false" ht="36" hidden="false" customHeight="true" outlineLevel="0" collapsed="false">
      <c r="B83" s="47" t="s">
        <v>177</v>
      </c>
      <c r="C83" s="48"/>
    </row>
    <row r="84" customFormat="false" ht="36" hidden="false" customHeight="true" outlineLevel="0" collapsed="false">
      <c r="B84" s="47" t="s">
        <v>178</v>
      </c>
      <c r="C84" s="48"/>
    </row>
    <row r="85" customFormat="false" ht="36" hidden="false" customHeight="true" outlineLevel="0" collapsed="false">
      <c r="B85" s="47" t="s">
        <v>179</v>
      </c>
      <c r="C85" s="48"/>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8">
      <formula>E14="Green"</formula>
    </cfRule>
    <cfRule type="expression" priority="4" aboveAverage="0" equalAverage="0" bottom="0" percent="0" rank="0" text="" dxfId="19">
      <formula>E14="Amber"</formula>
    </cfRule>
    <cfRule type="expression" priority="5" aboveAverage="0" equalAverage="0" bottom="0" percent="0" rank="0" text="" dxfId="20">
      <formula>E14="Red"</formula>
    </cfRule>
  </conditionalFormatting>
  <conditionalFormatting sqref="D36">
    <cfRule type="expression" priority="6" aboveAverage="0" equalAverage="0" bottom="0" percent="0" rank="0" text="" dxfId="21">
      <formula>D36&gt;0</formula>
    </cfRule>
    <cfRule type="expression" priority="7" aboveAverage="0" equalAverage="0" bottom="0" percent="0" rank="0" text="" dxfId="22">
      <formula>D36&lt;=0</formula>
    </cfRule>
  </conditionalFormatting>
  <conditionalFormatting sqref="E48:E52">
    <cfRule type="expression" priority="8" aboveAverage="0" equalAverage="0" bottom="0" percent="0" rank="0" text="" dxfId="23">
      <formula>AND(ISNUMBER(E48),E48&gt;0)</formula>
    </cfRule>
  </conditionalFormatting>
  <conditionalFormatting sqref="G48:G52">
    <cfRule type="expression" priority="9" aboveAverage="0" equalAverage="0" bottom="0" percent="0" rank="0" text="" dxfId="24">
      <formula>G48="Yes"</formula>
    </cfRule>
  </conditionalFormatting>
  <conditionalFormatting sqref="G56:G60">
    <cfRule type="expression" priority="10" aboveAverage="0" equalAverage="0" bottom="0" percent="0" rank="0" text="" dxfId="24">
      <formula>G56="Yes"</formula>
    </cfRule>
  </conditionalFormatting>
  <conditionalFormatting sqref="F56:F60">
    <cfRule type="expression" priority="11" aboveAverage="0" equalAverage="0" bottom="0" percent="0" rank="0" text="" dxfId="23">
      <formula>LEFT(F56,4)="Late"</formula>
    </cfRule>
  </conditionalFormatting>
  <conditionalFormatting sqref="G64:G68">
    <cfRule type="expression" priority="12" aboveAverage="0" equalAverage="0" bottom="0" percent="0" rank="0" text="" dxfId="24">
      <formula>G64="Yes"</formula>
    </cfRule>
  </conditionalFormatting>
  <conditionalFormatting sqref="F72:F76">
    <cfRule type="expression" priority="13" aboveAverage="0" equalAverage="0" bottom="0" percent="0" rank="0" text="" dxfId="23">
      <formula>LEFT(F72,4)="Late"</formula>
    </cfRule>
  </conditionalFormatting>
  <dataValidations count="2">
    <dataValidation allowBlank="false" errorStyle="stop" operator="between" showDropDown="false" showErrorMessage="false" showInputMessage="false" sqref="F14 F17:F21" type="list">
      <formula1>L_RAG</formula1>
      <formula2>0</formula2>
    </dataValidation>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49"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0" t="str">
        <f aca="false">IF(OR(COLUMN()-COLUMN(rm_Origin)=1,MONTH(EDATE(RoadmapStart,COLUMN()-COLUMN(rm_Origin)-1))=1),TEXT(EDATE(RoadmapStart,COLUMN()-COLUMN(rm_Origin)-1),"yyyy"),"")</f>
        <v>2026</v>
      </c>
      <c r="S4" s="50" t="str">
        <f aca="false">IF(OR(COLUMN()-COLUMN(rm_Origin)=1,MONTH(EDATE(RoadmapStart,COLUMN()-COLUMN(rm_Origin)-1))=1),TEXT(EDATE(RoadmapStart,COLUMN()-COLUMN(rm_Origin)-1),"yyyy"),"")</f>
        <v/>
      </c>
      <c r="T4" s="50" t="str">
        <f aca="false">IF(OR(COLUMN()-COLUMN(rm_Origin)=1,MONTH(EDATE(RoadmapStart,COLUMN()-COLUMN(rm_Origin)-1))=1),TEXT(EDATE(RoadmapStart,COLUMN()-COLUMN(rm_Origin)-1),"yyyy"),"")</f>
        <v/>
      </c>
      <c r="U4" s="50" t="str">
        <f aca="false">IF(OR(COLUMN()-COLUMN(rm_Origin)=1,MONTH(EDATE(RoadmapStart,COLUMN()-COLUMN(rm_Origin)-1))=1),TEXT(EDATE(RoadmapStart,COLUMN()-COLUMN(rm_Origin)-1),"yyyy"),"")</f>
        <v/>
      </c>
      <c r="V4" s="50" t="str">
        <f aca="false">IF(OR(COLUMN()-COLUMN(rm_Origin)=1,MONTH(EDATE(RoadmapStart,COLUMN()-COLUMN(rm_Origin)-1))=1),TEXT(EDATE(RoadmapStart,COLUMN()-COLUMN(rm_Origin)-1),"yyyy"),"")</f>
        <v>2027</v>
      </c>
      <c r="W4" s="50" t="str">
        <f aca="false">IF(OR(COLUMN()-COLUMN(rm_Origin)=1,MONTH(EDATE(RoadmapStart,COLUMN()-COLUMN(rm_Origin)-1))=1),TEXT(EDATE(RoadmapStart,COLUMN()-COLUMN(rm_Origin)-1),"yyyy"),"")</f>
        <v/>
      </c>
      <c r="X4" s="50" t="str">
        <f aca="false">IF(OR(COLUMN()-COLUMN(rm_Origin)=1,MONTH(EDATE(RoadmapStart,COLUMN()-COLUMN(rm_Origin)-1))=1),TEXT(EDATE(RoadmapStart,COLUMN()-COLUMN(rm_Origin)-1),"yyyy"),"")</f>
        <v/>
      </c>
      <c r="Y4" s="50" t="str">
        <f aca="false">IF(OR(COLUMN()-COLUMN(rm_Origin)=1,MONTH(EDATE(RoadmapStart,COLUMN()-COLUMN(rm_Origin)-1))=1),TEXT(EDATE(RoadmapStart,COLUMN()-COLUMN(rm_Origin)-1),"yyyy"),"")</f>
        <v/>
      </c>
      <c r="Z4" s="50" t="str">
        <f aca="false">IF(OR(COLUMN()-COLUMN(rm_Origin)=1,MONTH(EDATE(RoadmapStart,COLUMN()-COLUMN(rm_Origin)-1))=1),TEXT(EDATE(RoadmapStart,COLUMN()-COLUMN(rm_Origin)-1),"yyyy"),"")</f>
        <v/>
      </c>
      <c r="AA4" s="50" t="str">
        <f aca="false">IF(OR(COLUMN()-COLUMN(rm_Origin)=1,MONTH(EDATE(RoadmapStart,COLUMN()-COLUMN(rm_Origin)-1))=1),TEXT(EDATE(RoadmapStart,COLUMN()-COLUMN(rm_Origin)-1),"yyyy"),"")</f>
        <v/>
      </c>
      <c r="AB4" s="50" t="str">
        <f aca="false">IF(OR(COLUMN()-COLUMN(rm_Origin)=1,MONTH(EDATE(RoadmapStart,COLUMN()-COLUMN(rm_Origin)-1))=1),TEXT(EDATE(RoadmapStart,COLUMN()-COLUMN(rm_Origin)-1),"yyyy"),"")</f>
        <v/>
      </c>
      <c r="AC4" s="50" t="str">
        <f aca="false">IF(OR(COLUMN()-COLUMN(rm_Origin)=1,MONTH(EDATE(RoadmapStart,COLUMN()-COLUMN(rm_Origin)-1))=1),TEXT(EDATE(RoadmapStart,COLUMN()-COLUMN(rm_Origin)-1),"yyyy"),"")</f>
        <v/>
      </c>
      <c r="AD4" s="50" t="str">
        <f aca="false">IF(OR(COLUMN()-COLUMN(rm_Origin)=1,MONTH(EDATE(RoadmapStart,COLUMN()-COLUMN(rm_Origin)-1))=1),TEXT(EDATE(RoadmapStart,COLUMN()-COLUMN(rm_Origin)-1),"yyyy"),"")</f>
        <v/>
      </c>
      <c r="AE4" s="50" t="str">
        <f aca="false">IF(OR(COLUMN()-COLUMN(rm_Origin)=1,MONTH(EDATE(RoadmapStart,COLUMN()-COLUMN(rm_Origin)-1))=1),TEXT(EDATE(RoadmapStart,COLUMN()-COLUMN(rm_Origin)-1),"yyyy"),"")</f>
        <v/>
      </c>
      <c r="AF4" s="50" t="str">
        <f aca="false">IF(OR(COLUMN()-COLUMN(rm_Origin)=1,MONTH(EDATE(RoadmapStart,COLUMN()-COLUMN(rm_Origin)-1))=1),TEXT(EDATE(RoadmapStart,COLUMN()-COLUMN(rm_Origin)-1),"yyyy"),"")</f>
        <v/>
      </c>
      <c r="AG4" s="50" t="str">
        <f aca="false">IF(OR(COLUMN()-COLUMN(rm_Origin)=1,MONTH(EDATE(RoadmapStart,COLUMN()-COLUMN(rm_Origin)-1))=1),TEXT(EDATE(RoadmapStart,COLUMN()-COLUMN(rm_Origin)-1),"yyyy"),"")</f>
        <v/>
      </c>
      <c r="AH4" s="50" t="str">
        <f aca="false">IF(OR(COLUMN()-COLUMN(rm_Origin)=1,MONTH(EDATE(RoadmapStart,COLUMN()-COLUMN(rm_Origin)-1))=1),TEXT(EDATE(RoadmapStart,COLUMN()-COLUMN(rm_Origin)-1),"yyyy"),"")</f>
        <v>2028</v>
      </c>
      <c r="AI4" s="50" t="str">
        <f aca="false">IF(OR(COLUMN()-COLUMN(rm_Origin)=1,MONTH(EDATE(RoadmapStart,COLUMN()-COLUMN(rm_Origin)-1))=1),TEXT(EDATE(RoadmapStart,COLUMN()-COLUMN(rm_Origin)-1),"yyyy"),"")</f>
        <v/>
      </c>
    </row>
    <row r="5" customFormat="false" ht="15" hidden="false" customHeight="false" outlineLevel="0" collapsed="false">
      <c r="R5" s="51" t="n">
        <f aca="false">EDATE(RoadmapStart,COLUMN()-COLUMN(rm_Origin)-1)</f>
        <v>46266</v>
      </c>
      <c r="S5" s="51" t="n">
        <f aca="false">EDATE(RoadmapStart,COLUMN()-COLUMN(rm_Origin)-1)</f>
        <v>46296</v>
      </c>
      <c r="T5" s="51" t="n">
        <f aca="false">EDATE(RoadmapStart,COLUMN()-COLUMN(rm_Origin)-1)</f>
        <v>46327</v>
      </c>
      <c r="U5" s="51" t="n">
        <f aca="false">EDATE(RoadmapStart,COLUMN()-COLUMN(rm_Origin)-1)</f>
        <v>46357</v>
      </c>
      <c r="V5" s="51" t="n">
        <f aca="false">EDATE(RoadmapStart,COLUMN()-COLUMN(rm_Origin)-1)</f>
        <v>46388</v>
      </c>
      <c r="W5" s="51" t="n">
        <f aca="false">EDATE(RoadmapStart,COLUMN()-COLUMN(rm_Origin)-1)</f>
        <v>46419</v>
      </c>
      <c r="X5" s="51" t="n">
        <f aca="false">EDATE(RoadmapStart,COLUMN()-COLUMN(rm_Origin)-1)</f>
        <v>46447</v>
      </c>
      <c r="Y5" s="51" t="n">
        <f aca="false">EDATE(RoadmapStart,COLUMN()-COLUMN(rm_Origin)-1)</f>
        <v>46478</v>
      </c>
      <c r="Z5" s="51" t="n">
        <f aca="false">EDATE(RoadmapStart,COLUMN()-COLUMN(rm_Origin)-1)</f>
        <v>46508</v>
      </c>
      <c r="AA5" s="51" t="n">
        <f aca="false">EDATE(RoadmapStart,COLUMN()-COLUMN(rm_Origin)-1)</f>
        <v>46539</v>
      </c>
      <c r="AB5" s="51" t="n">
        <f aca="false">EDATE(RoadmapStart,COLUMN()-COLUMN(rm_Origin)-1)</f>
        <v>46569</v>
      </c>
      <c r="AC5" s="51" t="n">
        <f aca="false">EDATE(RoadmapStart,COLUMN()-COLUMN(rm_Origin)-1)</f>
        <v>46600</v>
      </c>
      <c r="AD5" s="51" t="n">
        <f aca="false">EDATE(RoadmapStart,COLUMN()-COLUMN(rm_Origin)-1)</f>
        <v>46631</v>
      </c>
      <c r="AE5" s="51" t="n">
        <f aca="false">EDATE(RoadmapStart,COLUMN()-COLUMN(rm_Origin)-1)</f>
        <v>46661</v>
      </c>
      <c r="AF5" s="51" t="n">
        <f aca="false">EDATE(RoadmapStart,COLUMN()-COLUMN(rm_Origin)-1)</f>
        <v>46692</v>
      </c>
      <c r="AG5" s="51" t="n">
        <f aca="false">EDATE(RoadmapStart,COLUMN()-COLUMN(rm_Origin)-1)</f>
        <v>46722</v>
      </c>
      <c r="AH5" s="51" t="n">
        <f aca="false">EDATE(RoadmapStart,COLUMN()-COLUMN(rm_Origin)-1)</f>
        <v>46753</v>
      </c>
      <c r="AI5" s="51"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1" t="s">
        <v>161</v>
      </c>
      <c r="C7" s="17" t="s">
        <v>180</v>
      </c>
      <c r="D7" s="17" t="s">
        <v>181</v>
      </c>
      <c r="E7" s="17" t="s">
        <v>182</v>
      </c>
      <c r="F7" s="17" t="s">
        <v>183</v>
      </c>
      <c r="G7" s="17" t="s">
        <v>184</v>
      </c>
      <c r="H7" s="17" t="s">
        <v>169</v>
      </c>
      <c r="I7" s="17" t="s">
        <v>164</v>
      </c>
      <c r="J7" s="17" t="s">
        <v>167</v>
      </c>
      <c r="K7" s="17" t="s">
        <v>165</v>
      </c>
      <c r="L7" s="17" t="s">
        <v>185</v>
      </c>
      <c r="M7" s="17" t="s">
        <v>120</v>
      </c>
      <c r="N7" s="17" t="s">
        <v>186</v>
      </c>
      <c r="O7" s="17" t="s">
        <v>187</v>
      </c>
      <c r="P7" s="41" t="s">
        <v>188</v>
      </c>
    </row>
    <row r="8" customFormat="false" ht="15" hidden="false" customHeight="false" outlineLevel="0" collapsed="false">
      <c r="B8" s="42"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2" t="n">
        <f aca="false">IF(RoadmapPhases[[#This Row],[_Task]]="","",IF(N(INDEX(tsk_PlanStart,RoadmapPhases[[#This Row],[_Task]]))=0,"",INDEX(tsk_PlanStart,RoadmapPhases[[#This Row],[_Task]])))</f>
        <v>46272</v>
      </c>
      <c r="G8" s="52" t="n">
        <f aca="false">IF(RoadmapPhases[[#This Row],[_Task]]="","",IF(N(INDEX(tsk_PlanFinish,RoadmapPhases[[#This Row],[_Task]]))=0,"",INDEX(tsk_PlanFinish,RoadmapPhases[[#This Row],[_Task]])))</f>
        <v>46276</v>
      </c>
      <c r="H8" s="52" t="n">
        <f aca="false">IF(RoadmapPhases[[#This Row],[_Task]]="","",IF(N(INDEX(tsk_FcStart,RoadmapPhases[[#This Row],[_Task]]))=0,"",INDEX(tsk_FcStart,RoadmapPhases[[#This Row],[_Task]])))</f>
        <v>46272</v>
      </c>
      <c r="I8" s="52" t="n">
        <f aca="false">IF(RoadmapPhases[[#This Row],[_Task]]="","",IF(N(INDEX(tsk_FcFinish,RoadmapPhases[[#This Row],[_Task]]))=0,"",INDEX(tsk_FcFinish,RoadmapPhases[[#This Row],[_Task]])))</f>
        <v>46279</v>
      </c>
      <c r="J8" s="45" t="n">
        <f aca="false">IF(RoadmapPhases[[#This Row],[_Task]]="","",INDEX(tsk_Progress,RoadmapPhases[[#This Row],[_Task]]))</f>
        <v>1</v>
      </c>
      <c r="K8" s="44" t="n">
        <f aca="false">IF(RoadmapPhases[[#This Row],[_Task]]="","",INDEX(tsk_Variance,RoadmapPhases[[#This Row],[_Task]]))</f>
        <v>1</v>
      </c>
      <c r="L8" s="46"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2" t="str">
        <f aca="false">IF(RoadmapPhases[[#This Row],[_Task]]="","",IFERROR(MATCH(_xlfn.MINIFS(tsk_MilestoneKey,tsk_Phase,RoadmapPhases[[#This Row],[WBS]]),tsk_MilestoneKey,0),""))</f>
        <v/>
      </c>
    </row>
    <row r="9" customFormat="false" ht="15" hidden="false" customHeight="false" outlineLevel="0" collapsed="false">
      <c r="B9" s="42"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2" t="n">
        <f aca="false">IF(RoadmapPhases[[#This Row],[_Task]]="","",IF(N(INDEX(tsk_PlanStart,RoadmapPhases[[#This Row],[_Task]]))=0,"",INDEX(tsk_PlanStart,RoadmapPhases[[#This Row],[_Task]])))</f>
        <v>46279</v>
      </c>
      <c r="G9" s="52" t="n">
        <f aca="false">IF(RoadmapPhases[[#This Row],[_Task]]="","",IF(N(INDEX(tsk_PlanFinish,RoadmapPhases[[#This Row],[_Task]]))=0,"",INDEX(tsk_PlanFinish,RoadmapPhases[[#This Row],[_Task]])))</f>
        <v>46296</v>
      </c>
      <c r="H9" s="52" t="n">
        <f aca="false">IF(RoadmapPhases[[#This Row],[_Task]]="","",IF(N(INDEX(tsk_FcStart,RoadmapPhases[[#This Row],[_Task]]))=0,"",INDEX(tsk_FcStart,RoadmapPhases[[#This Row],[_Task]])))</f>
        <v>46280</v>
      </c>
      <c r="I9" s="52" t="n">
        <f aca="false">IF(RoadmapPhases[[#This Row],[_Task]]="","",IF(N(INDEX(tsk_FcFinish,RoadmapPhases[[#This Row],[_Task]]))=0,"",INDEX(tsk_FcFinish,RoadmapPhases[[#This Row],[_Task]])))</f>
        <v>46301</v>
      </c>
      <c r="J9" s="45" t="n">
        <f aca="false">IF(RoadmapPhases[[#This Row],[_Task]]="","",INDEX(tsk_Progress,RoadmapPhases[[#This Row],[_Task]]))</f>
        <v>1</v>
      </c>
      <c r="K9" s="44" t="n">
        <f aca="false">IF(RoadmapPhases[[#This Row],[_Task]]="","",INDEX(tsk_Variance,RoadmapPhases[[#This Row],[_Task]]))</f>
        <v>3</v>
      </c>
      <c r="L9" s="46"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2" t="str">
        <f aca="false">IF(RoadmapPhases[[#This Row],[_Task]]="","",IFERROR(MATCH(_xlfn.MINIFS(tsk_MilestoneKey,tsk_Phase,RoadmapPhases[[#This Row],[WBS]]),tsk_MilestoneKey,0),""))</f>
        <v/>
      </c>
    </row>
    <row r="10" customFormat="false" ht="15" hidden="false" customHeight="false" outlineLevel="0" collapsed="false">
      <c r="B10" s="42"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2" t="n">
        <f aca="false">IF(RoadmapPhases[[#This Row],[_Task]]="","",IF(N(INDEX(tsk_PlanStart,RoadmapPhases[[#This Row],[_Task]]))=0,"",INDEX(tsk_PlanStart,RoadmapPhases[[#This Row],[_Task]])))</f>
        <v>46297</v>
      </c>
      <c r="G10" s="52" t="n">
        <f aca="false">IF(RoadmapPhases[[#This Row],[_Task]]="","",IF(N(INDEX(tsk_PlanFinish,RoadmapPhases[[#This Row],[_Task]]))=0,"",INDEX(tsk_PlanFinish,RoadmapPhases[[#This Row],[_Task]])))</f>
        <v>46318</v>
      </c>
      <c r="H10" s="52" t="n">
        <f aca="false">IF(RoadmapPhases[[#This Row],[_Task]]="","",IF(N(INDEX(tsk_FcStart,RoadmapPhases[[#This Row],[_Task]]))=0,"",INDEX(tsk_FcStart,RoadmapPhases[[#This Row],[_Task]])))</f>
        <v>46302</v>
      </c>
      <c r="I10" s="52" t="n">
        <f aca="false">IF(RoadmapPhases[[#This Row],[_Task]]="","",IF(N(INDEX(tsk_FcFinish,RoadmapPhases[[#This Row],[_Task]]))=0,"",INDEX(tsk_FcFinish,RoadmapPhases[[#This Row],[_Task]])))</f>
        <v>46324</v>
      </c>
      <c r="J10" s="45" t="n">
        <f aca="false">IF(RoadmapPhases[[#This Row],[_Task]]="","",INDEX(tsk_Progress,RoadmapPhases[[#This Row],[_Task]]))</f>
        <v>0.791925465838509</v>
      </c>
      <c r="K10" s="44" t="n">
        <f aca="false">IF(RoadmapPhases[[#This Row],[_Task]]="","",INDEX(tsk_Variance,RoadmapPhases[[#This Row],[_Task]]))</f>
        <v>4</v>
      </c>
      <c r="L10" s="46"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2" t="n">
        <f aca="false">IF(RoadmapPhases[[#This Row],[_Task]]="","",IFERROR(MATCH(_xlfn.MINIFS(tsk_MilestoneKey,tsk_Phase,RoadmapPhases[[#This Row],[WBS]]),tsk_MilestoneKey,0),""))</f>
        <v>12</v>
      </c>
    </row>
    <row r="11" customFormat="false" ht="15" hidden="false" customHeight="false" outlineLevel="0" collapsed="false">
      <c r="B11" s="42"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2" t="str">
        <f aca="false">IF(RoadmapPhases[[#This Row],[_Task]]="","",IF(N(INDEX(tsk_PlanStart,RoadmapPhases[[#This Row],[_Task]]))=0,"",INDEX(tsk_PlanStart,RoadmapPhases[[#This Row],[_Task]])))</f>
        <v/>
      </c>
      <c r="G11" s="52" t="str">
        <f aca="false">IF(RoadmapPhases[[#This Row],[_Task]]="","",IF(N(INDEX(tsk_PlanFinish,RoadmapPhases[[#This Row],[_Task]]))=0,"",INDEX(tsk_PlanFinish,RoadmapPhases[[#This Row],[_Task]])))</f>
        <v/>
      </c>
      <c r="H11" s="52" t="str">
        <f aca="false">IF(RoadmapPhases[[#This Row],[_Task]]="","",IF(N(INDEX(tsk_FcStart,RoadmapPhases[[#This Row],[_Task]]))=0,"",INDEX(tsk_FcStart,RoadmapPhases[[#This Row],[_Task]])))</f>
        <v/>
      </c>
      <c r="I11" s="52" t="str">
        <f aca="false">IF(RoadmapPhases[[#This Row],[_Task]]="","",IF(N(INDEX(tsk_FcFinish,RoadmapPhases[[#This Row],[_Task]]))=0,"",INDEX(tsk_FcFinish,RoadmapPhases[[#This Row],[_Task]])))</f>
        <v/>
      </c>
      <c r="J11" s="45" t="str">
        <f aca="false">IF(RoadmapPhases[[#This Row],[_Task]]="","",INDEX(tsk_Progress,RoadmapPhases[[#This Row],[_Task]]))</f>
        <v/>
      </c>
      <c r="K11" s="44" t="str">
        <f aca="false">IF(RoadmapPhases[[#This Row],[_Task]]="","",INDEX(tsk_Variance,RoadmapPhases[[#This Row],[_Task]]))</f>
        <v/>
      </c>
      <c r="L11" s="46"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2" t="str">
        <f aca="false">IF(RoadmapPhases[[#This Row],[_Task]]="","",IFERROR(MATCH(_xlfn.MINIFS(tsk_MilestoneKey,tsk_Phase,RoadmapPhases[[#This Row],[WBS]]),tsk_MilestoneKey,0),""))</f>
        <v/>
      </c>
    </row>
    <row r="12" customFormat="false" ht="15" hidden="false" customHeight="false" outlineLevel="0" collapsed="false">
      <c r="B12" s="42"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2" t="str">
        <f aca="false">IF(RoadmapPhases[[#This Row],[_Task]]="","",IF(N(INDEX(tsk_PlanStart,RoadmapPhases[[#This Row],[_Task]]))=0,"",INDEX(tsk_PlanStart,RoadmapPhases[[#This Row],[_Task]])))</f>
        <v/>
      </c>
      <c r="G12" s="52" t="str">
        <f aca="false">IF(RoadmapPhases[[#This Row],[_Task]]="","",IF(N(INDEX(tsk_PlanFinish,RoadmapPhases[[#This Row],[_Task]]))=0,"",INDEX(tsk_PlanFinish,RoadmapPhases[[#This Row],[_Task]])))</f>
        <v/>
      </c>
      <c r="H12" s="52" t="str">
        <f aca="false">IF(RoadmapPhases[[#This Row],[_Task]]="","",IF(N(INDEX(tsk_FcStart,RoadmapPhases[[#This Row],[_Task]]))=0,"",INDEX(tsk_FcStart,RoadmapPhases[[#This Row],[_Task]])))</f>
        <v/>
      </c>
      <c r="I12" s="52" t="str">
        <f aca="false">IF(RoadmapPhases[[#This Row],[_Task]]="","",IF(N(INDEX(tsk_FcFinish,RoadmapPhases[[#This Row],[_Task]]))=0,"",INDEX(tsk_FcFinish,RoadmapPhases[[#This Row],[_Task]])))</f>
        <v/>
      </c>
      <c r="J12" s="45" t="str">
        <f aca="false">IF(RoadmapPhases[[#This Row],[_Task]]="","",INDEX(tsk_Progress,RoadmapPhases[[#This Row],[_Task]]))</f>
        <v/>
      </c>
      <c r="K12" s="44" t="str">
        <f aca="false">IF(RoadmapPhases[[#This Row],[_Task]]="","",INDEX(tsk_Variance,RoadmapPhases[[#This Row],[_Task]]))</f>
        <v/>
      </c>
      <c r="L12" s="46"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2" t="str">
        <f aca="false">IF(RoadmapPhases[[#This Row],[_Task]]="","",IFERROR(MATCH(_xlfn.MINIFS(tsk_MilestoneKey,tsk_Phase,RoadmapPhases[[#This Row],[WBS]]),tsk_MilestoneKey,0),""))</f>
        <v/>
      </c>
    </row>
    <row r="13" customFormat="false" ht="15" hidden="false" customHeight="false" outlineLevel="0" collapsed="false">
      <c r="B13" s="42"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2" t="str">
        <f aca="false">IF(RoadmapPhases[[#This Row],[_Task]]="","",IF(N(INDEX(tsk_PlanStart,RoadmapPhases[[#This Row],[_Task]]))=0,"",INDEX(tsk_PlanStart,RoadmapPhases[[#This Row],[_Task]])))</f>
        <v/>
      </c>
      <c r="G13" s="52" t="str">
        <f aca="false">IF(RoadmapPhases[[#This Row],[_Task]]="","",IF(N(INDEX(tsk_PlanFinish,RoadmapPhases[[#This Row],[_Task]]))=0,"",INDEX(tsk_PlanFinish,RoadmapPhases[[#This Row],[_Task]])))</f>
        <v/>
      </c>
      <c r="H13" s="52" t="str">
        <f aca="false">IF(RoadmapPhases[[#This Row],[_Task]]="","",IF(N(INDEX(tsk_FcStart,RoadmapPhases[[#This Row],[_Task]]))=0,"",INDEX(tsk_FcStart,RoadmapPhases[[#This Row],[_Task]])))</f>
        <v/>
      </c>
      <c r="I13" s="52" t="str">
        <f aca="false">IF(RoadmapPhases[[#This Row],[_Task]]="","",IF(N(INDEX(tsk_FcFinish,RoadmapPhases[[#This Row],[_Task]]))=0,"",INDEX(tsk_FcFinish,RoadmapPhases[[#This Row],[_Task]])))</f>
        <v/>
      </c>
      <c r="J13" s="45" t="str">
        <f aca="false">IF(RoadmapPhases[[#This Row],[_Task]]="","",INDEX(tsk_Progress,RoadmapPhases[[#This Row],[_Task]]))</f>
        <v/>
      </c>
      <c r="K13" s="44" t="str">
        <f aca="false">IF(RoadmapPhases[[#This Row],[_Task]]="","",INDEX(tsk_Variance,RoadmapPhases[[#This Row],[_Task]]))</f>
        <v/>
      </c>
      <c r="L13" s="46"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2" t="str">
        <f aca="false">IF(RoadmapPhases[[#This Row],[_Task]]="","",IFERROR(MATCH(_xlfn.MINIFS(tsk_MilestoneKey,tsk_Phase,RoadmapPhases[[#This Row],[WBS]]),tsk_MilestoneKey,0),""))</f>
        <v/>
      </c>
    </row>
    <row r="14" customFormat="false" ht="15" hidden="false" customHeight="false" outlineLevel="0" collapsed="false">
      <c r="B14" s="42"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2" t="str">
        <f aca="false">IF(RoadmapPhases[[#This Row],[_Task]]="","",IF(N(INDEX(tsk_PlanStart,RoadmapPhases[[#This Row],[_Task]]))=0,"",INDEX(tsk_PlanStart,RoadmapPhases[[#This Row],[_Task]])))</f>
        <v/>
      </c>
      <c r="G14" s="52" t="str">
        <f aca="false">IF(RoadmapPhases[[#This Row],[_Task]]="","",IF(N(INDEX(tsk_PlanFinish,RoadmapPhases[[#This Row],[_Task]]))=0,"",INDEX(tsk_PlanFinish,RoadmapPhases[[#This Row],[_Task]])))</f>
        <v/>
      </c>
      <c r="H14" s="52" t="str">
        <f aca="false">IF(RoadmapPhases[[#This Row],[_Task]]="","",IF(N(INDEX(tsk_FcStart,RoadmapPhases[[#This Row],[_Task]]))=0,"",INDEX(tsk_FcStart,RoadmapPhases[[#This Row],[_Task]])))</f>
        <v/>
      </c>
      <c r="I14" s="52" t="str">
        <f aca="false">IF(RoadmapPhases[[#This Row],[_Task]]="","",IF(N(INDEX(tsk_FcFinish,RoadmapPhases[[#This Row],[_Task]]))=0,"",INDEX(tsk_FcFinish,RoadmapPhases[[#This Row],[_Task]])))</f>
        <v/>
      </c>
      <c r="J14" s="45" t="str">
        <f aca="false">IF(RoadmapPhases[[#This Row],[_Task]]="","",INDEX(tsk_Progress,RoadmapPhases[[#This Row],[_Task]]))</f>
        <v/>
      </c>
      <c r="K14" s="44" t="str">
        <f aca="false">IF(RoadmapPhases[[#This Row],[_Task]]="","",INDEX(tsk_Variance,RoadmapPhases[[#This Row],[_Task]]))</f>
        <v/>
      </c>
      <c r="L14" s="46"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2" t="str">
        <f aca="false">IF(RoadmapPhases[[#This Row],[_Task]]="","",IFERROR(MATCH(_xlfn.MINIFS(tsk_MilestoneKey,tsk_Phase,RoadmapPhases[[#This Row],[WBS]]),tsk_MilestoneKey,0),""))</f>
        <v/>
      </c>
    </row>
    <row r="15" customFormat="false" ht="15" hidden="false" customHeight="false" outlineLevel="0" collapsed="false">
      <c r="B15" s="42"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2" t="str">
        <f aca="false">IF(RoadmapPhases[[#This Row],[_Task]]="","",IF(N(INDEX(tsk_PlanStart,RoadmapPhases[[#This Row],[_Task]]))=0,"",INDEX(tsk_PlanStart,RoadmapPhases[[#This Row],[_Task]])))</f>
        <v/>
      </c>
      <c r="G15" s="52" t="str">
        <f aca="false">IF(RoadmapPhases[[#This Row],[_Task]]="","",IF(N(INDEX(tsk_PlanFinish,RoadmapPhases[[#This Row],[_Task]]))=0,"",INDEX(tsk_PlanFinish,RoadmapPhases[[#This Row],[_Task]])))</f>
        <v/>
      </c>
      <c r="H15" s="52" t="str">
        <f aca="false">IF(RoadmapPhases[[#This Row],[_Task]]="","",IF(N(INDEX(tsk_FcStart,RoadmapPhases[[#This Row],[_Task]]))=0,"",INDEX(tsk_FcStart,RoadmapPhases[[#This Row],[_Task]])))</f>
        <v/>
      </c>
      <c r="I15" s="52" t="str">
        <f aca="false">IF(RoadmapPhases[[#This Row],[_Task]]="","",IF(N(INDEX(tsk_FcFinish,RoadmapPhases[[#This Row],[_Task]]))=0,"",INDEX(tsk_FcFinish,RoadmapPhases[[#This Row],[_Task]])))</f>
        <v/>
      </c>
      <c r="J15" s="45" t="str">
        <f aca="false">IF(RoadmapPhases[[#This Row],[_Task]]="","",INDEX(tsk_Progress,RoadmapPhases[[#This Row],[_Task]]))</f>
        <v/>
      </c>
      <c r="K15" s="44" t="str">
        <f aca="false">IF(RoadmapPhases[[#This Row],[_Task]]="","",INDEX(tsk_Variance,RoadmapPhases[[#This Row],[_Task]]))</f>
        <v/>
      </c>
      <c r="L15" s="46"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2" t="str">
        <f aca="false">IF(RoadmapPhases[[#This Row],[_Task]]="","",IFERROR(MATCH(_xlfn.MINIFS(tsk_MilestoneKey,tsk_Phase,RoadmapPhases[[#This Row],[WBS]]),tsk_MilestoneKey,0),""))</f>
        <v/>
      </c>
    </row>
    <row r="16" customFormat="false" ht="15" hidden="false" customHeight="false" outlineLevel="0" collapsed="false">
      <c r="B16" s="42"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2" t="str">
        <f aca="false">IF(RoadmapPhases[[#This Row],[_Task]]="","",IF(N(INDEX(tsk_PlanStart,RoadmapPhases[[#This Row],[_Task]]))=0,"",INDEX(tsk_PlanStart,RoadmapPhases[[#This Row],[_Task]])))</f>
        <v/>
      </c>
      <c r="G16" s="52" t="str">
        <f aca="false">IF(RoadmapPhases[[#This Row],[_Task]]="","",IF(N(INDEX(tsk_PlanFinish,RoadmapPhases[[#This Row],[_Task]]))=0,"",INDEX(tsk_PlanFinish,RoadmapPhases[[#This Row],[_Task]])))</f>
        <v/>
      </c>
      <c r="H16" s="52" t="str">
        <f aca="false">IF(RoadmapPhases[[#This Row],[_Task]]="","",IF(N(INDEX(tsk_FcStart,RoadmapPhases[[#This Row],[_Task]]))=0,"",INDEX(tsk_FcStart,RoadmapPhases[[#This Row],[_Task]])))</f>
        <v/>
      </c>
      <c r="I16" s="52" t="str">
        <f aca="false">IF(RoadmapPhases[[#This Row],[_Task]]="","",IF(N(INDEX(tsk_FcFinish,RoadmapPhases[[#This Row],[_Task]]))=0,"",INDEX(tsk_FcFinish,RoadmapPhases[[#This Row],[_Task]])))</f>
        <v/>
      </c>
      <c r="J16" s="45" t="str">
        <f aca="false">IF(RoadmapPhases[[#This Row],[_Task]]="","",INDEX(tsk_Progress,RoadmapPhases[[#This Row],[_Task]]))</f>
        <v/>
      </c>
      <c r="K16" s="44" t="str">
        <f aca="false">IF(RoadmapPhases[[#This Row],[_Task]]="","",INDEX(tsk_Variance,RoadmapPhases[[#This Row],[_Task]]))</f>
        <v/>
      </c>
      <c r="L16" s="46"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2" t="str">
        <f aca="false">IF(RoadmapPhases[[#This Row],[_Task]]="","",IFERROR(MATCH(_xlfn.MINIFS(tsk_MilestoneKey,tsk_Phase,RoadmapPhases[[#This Row],[WBS]]),tsk_MilestoneKey,0),""))</f>
        <v/>
      </c>
    </row>
    <row r="17" customFormat="false" ht="15" hidden="false" customHeight="false" outlineLevel="0" collapsed="false">
      <c r="B17" s="42"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2" t="str">
        <f aca="false">IF(RoadmapPhases[[#This Row],[_Task]]="","",IF(N(INDEX(tsk_PlanStart,RoadmapPhases[[#This Row],[_Task]]))=0,"",INDEX(tsk_PlanStart,RoadmapPhases[[#This Row],[_Task]])))</f>
        <v/>
      </c>
      <c r="G17" s="52" t="str">
        <f aca="false">IF(RoadmapPhases[[#This Row],[_Task]]="","",IF(N(INDEX(tsk_PlanFinish,RoadmapPhases[[#This Row],[_Task]]))=0,"",INDEX(tsk_PlanFinish,RoadmapPhases[[#This Row],[_Task]])))</f>
        <v/>
      </c>
      <c r="H17" s="52" t="str">
        <f aca="false">IF(RoadmapPhases[[#This Row],[_Task]]="","",IF(N(INDEX(tsk_FcStart,RoadmapPhases[[#This Row],[_Task]]))=0,"",INDEX(tsk_FcStart,RoadmapPhases[[#This Row],[_Task]])))</f>
        <v/>
      </c>
      <c r="I17" s="52" t="str">
        <f aca="false">IF(RoadmapPhases[[#This Row],[_Task]]="","",IF(N(INDEX(tsk_FcFinish,RoadmapPhases[[#This Row],[_Task]]))=0,"",INDEX(tsk_FcFinish,RoadmapPhases[[#This Row],[_Task]])))</f>
        <v/>
      </c>
      <c r="J17" s="45" t="str">
        <f aca="false">IF(RoadmapPhases[[#This Row],[_Task]]="","",INDEX(tsk_Progress,RoadmapPhases[[#This Row],[_Task]]))</f>
        <v/>
      </c>
      <c r="K17" s="44" t="str">
        <f aca="false">IF(RoadmapPhases[[#This Row],[_Task]]="","",INDEX(tsk_Variance,RoadmapPhases[[#This Row],[_Task]]))</f>
        <v/>
      </c>
      <c r="L17" s="46"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2"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1" t="s">
        <v>161</v>
      </c>
      <c r="C20" s="17" t="s">
        <v>180</v>
      </c>
      <c r="D20" s="17" t="s">
        <v>189</v>
      </c>
      <c r="E20" s="17" t="s">
        <v>190</v>
      </c>
      <c r="F20" s="17" t="s">
        <v>191</v>
      </c>
      <c r="G20" s="17" t="s">
        <v>192</v>
      </c>
      <c r="H20" s="17" t="s">
        <v>168</v>
      </c>
      <c r="I20" s="17" t="s">
        <v>135</v>
      </c>
      <c r="J20" s="17" t="s">
        <v>165</v>
      </c>
    </row>
    <row r="21" customFormat="false" ht="15" hidden="false" customHeight="false" outlineLevel="0" collapsed="false">
      <c r="B21" s="42"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2" t="n">
        <f aca="false">IF(RoadmapMilestones[[#This Row],[_Task]]="","",IF(N(INDEX(tsk_PlanFinish,RoadmapMilestones[[#This Row],[_Task]]))=0,"",INDEX(tsk_PlanFinish,RoadmapMilestones[[#This Row],[_Task]])))</f>
        <v>46276</v>
      </c>
      <c r="F21" s="52" t="str">
        <f aca="false">IF(RoadmapMilestones[[#This Row],[_Task]]="","",IF(N(INDEX(tsk_Deadline,RoadmapMilestones[[#This Row],[_Task]]))=0,"",INDEX(tsk_Deadline,RoadmapMilestones[[#This Row],[_Task]])))</f>
        <v/>
      </c>
      <c r="G21" s="52"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4" t="n">
        <f aca="false">IF(RoadmapMilestones[[#This Row],[_Task]]="","",INDEX(tsk_Variance,RoadmapMilestones[[#This Row],[_Task]]))</f>
        <v>1</v>
      </c>
    </row>
    <row r="22" customFormat="false" ht="15" hidden="false" customHeight="false" outlineLevel="0" collapsed="false">
      <c r="B22" s="42"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2" t="n">
        <f aca="false">IF(RoadmapMilestones[[#This Row],[_Task]]="","",IF(N(INDEX(tsk_PlanFinish,RoadmapMilestones[[#This Row],[_Task]]))=0,"",INDEX(tsk_PlanFinish,RoadmapMilestones[[#This Row],[_Task]])))</f>
        <v>46296</v>
      </c>
      <c r="F22" s="52" t="str">
        <f aca="false">IF(RoadmapMilestones[[#This Row],[_Task]]="","",IF(N(INDEX(tsk_Deadline,RoadmapMilestones[[#This Row],[_Task]]))=0,"",INDEX(tsk_Deadline,RoadmapMilestones[[#This Row],[_Task]])))</f>
        <v/>
      </c>
      <c r="G22" s="52"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4" t="n">
        <f aca="false">IF(RoadmapMilestones[[#This Row],[_Task]]="","",INDEX(tsk_Variance,RoadmapMilestones[[#This Row],[_Task]]))</f>
        <v>3</v>
      </c>
    </row>
    <row r="23" customFormat="false" ht="15" hidden="false" customHeight="false" outlineLevel="0" collapsed="false">
      <c r="B23" s="42"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2" t="n">
        <f aca="false">IF(RoadmapMilestones[[#This Row],[_Task]]="","",IF(N(INDEX(tsk_PlanFinish,RoadmapMilestones[[#This Row],[_Task]]))=0,"",INDEX(tsk_PlanFinish,RoadmapMilestones[[#This Row],[_Task]])))</f>
        <v>46318</v>
      </c>
      <c r="F23" s="52" t="n">
        <f aca="false">IF(RoadmapMilestones[[#This Row],[_Task]]="","",IF(N(INDEX(tsk_Deadline,RoadmapMilestones[[#This Row],[_Task]]))=0,"",INDEX(tsk_Deadline,RoadmapMilestones[[#This Row],[_Task]])))</f>
        <v>46374</v>
      </c>
      <c r="G23" s="52"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4" t="n">
        <f aca="false">IF(RoadmapMilestones[[#This Row],[_Task]]="","",INDEX(tsk_Variance,RoadmapMilestones[[#This Row],[_Task]]))</f>
        <v>4</v>
      </c>
    </row>
    <row r="24" customFormat="false" ht="15" hidden="false" customHeight="false" outlineLevel="0" collapsed="false">
      <c r="B24" s="42"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2" t="str">
        <f aca="false">IF(RoadmapMilestones[[#This Row],[_Task]]="","",IF(N(INDEX(tsk_PlanFinish,RoadmapMilestones[[#This Row],[_Task]]))=0,"",INDEX(tsk_PlanFinish,RoadmapMilestones[[#This Row],[_Task]])))</f>
        <v/>
      </c>
      <c r="F24" s="52" t="str">
        <f aca="false">IF(RoadmapMilestones[[#This Row],[_Task]]="","",IF(N(INDEX(tsk_Deadline,RoadmapMilestones[[#This Row],[_Task]]))=0,"",INDEX(tsk_Deadline,RoadmapMilestones[[#This Row],[_Task]])))</f>
        <v/>
      </c>
      <c r="G24" s="52"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4" t="str">
        <f aca="false">IF(RoadmapMilestones[[#This Row],[_Task]]="","",INDEX(tsk_Variance,RoadmapMilestones[[#This Row],[_Task]]))</f>
        <v/>
      </c>
    </row>
    <row r="25" customFormat="false" ht="15" hidden="false" customHeight="false" outlineLevel="0" collapsed="false">
      <c r="B25" s="42"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2" t="str">
        <f aca="false">IF(RoadmapMilestones[[#This Row],[_Task]]="","",IF(N(INDEX(tsk_PlanFinish,RoadmapMilestones[[#This Row],[_Task]]))=0,"",INDEX(tsk_PlanFinish,RoadmapMilestones[[#This Row],[_Task]])))</f>
        <v/>
      </c>
      <c r="F25" s="52" t="str">
        <f aca="false">IF(RoadmapMilestones[[#This Row],[_Task]]="","",IF(N(INDEX(tsk_Deadline,RoadmapMilestones[[#This Row],[_Task]]))=0,"",INDEX(tsk_Deadline,RoadmapMilestones[[#This Row],[_Task]])))</f>
        <v/>
      </c>
      <c r="G25" s="52"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4" t="str">
        <f aca="false">IF(RoadmapMilestones[[#This Row],[_Task]]="","",INDEX(tsk_Variance,RoadmapMilestones[[#This Row],[_Task]]))</f>
        <v/>
      </c>
    </row>
    <row r="26" customFormat="false" ht="15" hidden="false" customHeight="false" outlineLevel="0" collapsed="false">
      <c r="B26" s="42"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2" t="str">
        <f aca="false">IF(RoadmapMilestones[[#This Row],[_Task]]="","",IF(N(INDEX(tsk_PlanFinish,RoadmapMilestones[[#This Row],[_Task]]))=0,"",INDEX(tsk_PlanFinish,RoadmapMilestones[[#This Row],[_Task]])))</f>
        <v/>
      </c>
      <c r="F26" s="52" t="str">
        <f aca="false">IF(RoadmapMilestones[[#This Row],[_Task]]="","",IF(N(INDEX(tsk_Deadline,RoadmapMilestones[[#This Row],[_Task]]))=0,"",INDEX(tsk_Deadline,RoadmapMilestones[[#This Row],[_Task]])))</f>
        <v/>
      </c>
      <c r="G26" s="52"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4" t="str">
        <f aca="false">IF(RoadmapMilestones[[#This Row],[_Task]]="","",INDEX(tsk_Variance,RoadmapMilestones[[#This Row],[_Task]]))</f>
        <v/>
      </c>
    </row>
    <row r="27" customFormat="false" ht="15" hidden="false" customHeight="false" outlineLevel="0" collapsed="false">
      <c r="B27" s="42"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2" t="str">
        <f aca="false">IF(RoadmapMilestones[[#This Row],[_Task]]="","",IF(N(INDEX(tsk_PlanFinish,RoadmapMilestones[[#This Row],[_Task]]))=0,"",INDEX(tsk_PlanFinish,RoadmapMilestones[[#This Row],[_Task]])))</f>
        <v/>
      </c>
      <c r="F27" s="52" t="str">
        <f aca="false">IF(RoadmapMilestones[[#This Row],[_Task]]="","",IF(N(INDEX(tsk_Deadline,RoadmapMilestones[[#This Row],[_Task]]))=0,"",INDEX(tsk_Deadline,RoadmapMilestones[[#This Row],[_Task]])))</f>
        <v/>
      </c>
      <c r="G27" s="52"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4" t="str">
        <f aca="false">IF(RoadmapMilestones[[#This Row],[_Task]]="","",INDEX(tsk_Variance,RoadmapMilestones[[#This Row],[_Task]]))</f>
        <v/>
      </c>
    </row>
    <row r="28" customFormat="false" ht="15" hidden="false" customHeight="false" outlineLevel="0" collapsed="false">
      <c r="B28" s="42"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2" t="str">
        <f aca="false">IF(RoadmapMilestones[[#This Row],[_Task]]="","",IF(N(INDEX(tsk_PlanFinish,RoadmapMilestones[[#This Row],[_Task]]))=0,"",INDEX(tsk_PlanFinish,RoadmapMilestones[[#This Row],[_Task]])))</f>
        <v/>
      </c>
      <c r="F28" s="52" t="str">
        <f aca="false">IF(RoadmapMilestones[[#This Row],[_Task]]="","",IF(N(INDEX(tsk_Deadline,RoadmapMilestones[[#This Row],[_Task]]))=0,"",INDEX(tsk_Deadline,RoadmapMilestones[[#This Row],[_Task]])))</f>
        <v/>
      </c>
      <c r="G28" s="52"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4" t="str">
        <f aca="false">IF(RoadmapMilestones[[#This Row],[_Task]]="","",INDEX(tsk_Variance,RoadmapMilestones[[#This Row],[_Task]]))</f>
        <v/>
      </c>
    </row>
    <row r="29" customFormat="false" ht="15" hidden="false" customHeight="false" outlineLevel="0" collapsed="false">
      <c r="B29" s="42"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2" t="str">
        <f aca="false">IF(RoadmapMilestones[[#This Row],[_Task]]="","",IF(N(INDEX(tsk_PlanFinish,RoadmapMilestones[[#This Row],[_Task]]))=0,"",INDEX(tsk_PlanFinish,RoadmapMilestones[[#This Row],[_Task]])))</f>
        <v/>
      </c>
      <c r="F29" s="52" t="str">
        <f aca="false">IF(RoadmapMilestones[[#This Row],[_Task]]="","",IF(N(INDEX(tsk_Deadline,RoadmapMilestones[[#This Row],[_Task]]))=0,"",INDEX(tsk_Deadline,RoadmapMilestones[[#This Row],[_Task]])))</f>
        <v/>
      </c>
      <c r="G29" s="52"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4" t="str">
        <f aca="false">IF(RoadmapMilestones[[#This Row],[_Task]]="","",INDEX(tsk_Variance,RoadmapMilestones[[#This Row],[_Task]]))</f>
        <v/>
      </c>
    </row>
    <row r="30" customFormat="false" ht="15" hidden="false" customHeight="false" outlineLevel="0" collapsed="false">
      <c r="B30" s="42"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2" t="str">
        <f aca="false">IF(RoadmapMilestones[[#This Row],[_Task]]="","",IF(N(INDEX(tsk_PlanFinish,RoadmapMilestones[[#This Row],[_Task]]))=0,"",INDEX(tsk_PlanFinish,RoadmapMilestones[[#This Row],[_Task]])))</f>
        <v/>
      </c>
      <c r="F30" s="52" t="str">
        <f aca="false">IF(RoadmapMilestones[[#This Row],[_Task]]="","",IF(N(INDEX(tsk_Deadline,RoadmapMilestones[[#This Row],[_Task]]))=0,"",INDEX(tsk_Deadline,RoadmapMilestones[[#This Row],[_Task]])))</f>
        <v/>
      </c>
      <c r="G30" s="52"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4" t="str">
        <f aca="false">IF(RoadmapMilestones[[#This Row],[_Task]]="","",INDEX(tsk_Variance,RoadmapMilestones[[#This Row],[_Task]]))</f>
        <v/>
      </c>
    </row>
    <row r="31" customFormat="false" ht="15" hidden="false" customHeight="false" outlineLevel="0" collapsed="false">
      <c r="B31" s="42"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2" t="str">
        <f aca="false">IF(RoadmapMilestones[[#This Row],[_Task]]="","",IF(N(INDEX(tsk_PlanFinish,RoadmapMilestones[[#This Row],[_Task]]))=0,"",INDEX(tsk_PlanFinish,RoadmapMilestones[[#This Row],[_Task]])))</f>
        <v/>
      </c>
      <c r="F31" s="52" t="str">
        <f aca="false">IF(RoadmapMilestones[[#This Row],[_Task]]="","",IF(N(INDEX(tsk_Deadline,RoadmapMilestones[[#This Row],[_Task]]))=0,"",INDEX(tsk_Deadline,RoadmapMilestones[[#This Row],[_Task]])))</f>
        <v/>
      </c>
      <c r="G31" s="52"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4" t="str">
        <f aca="false">IF(RoadmapMilestones[[#This Row],[_Task]]="","",INDEX(tsk_Variance,RoadmapMilestones[[#This Row],[_Task]]))</f>
        <v/>
      </c>
    </row>
    <row r="32" customFormat="false" ht="15" hidden="false" customHeight="false" outlineLevel="0" collapsed="false">
      <c r="B32" s="42"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2" t="str">
        <f aca="false">IF(RoadmapMilestones[[#This Row],[_Task]]="","",IF(N(INDEX(tsk_PlanFinish,RoadmapMilestones[[#This Row],[_Task]]))=0,"",INDEX(tsk_PlanFinish,RoadmapMilestones[[#This Row],[_Task]])))</f>
        <v/>
      </c>
      <c r="F32" s="52" t="str">
        <f aca="false">IF(RoadmapMilestones[[#This Row],[_Task]]="","",IF(N(INDEX(tsk_Deadline,RoadmapMilestones[[#This Row],[_Task]]))=0,"",INDEX(tsk_Deadline,RoadmapMilestones[[#This Row],[_Task]])))</f>
        <v/>
      </c>
      <c r="G32" s="52"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4" t="str">
        <f aca="false">IF(RoadmapMilestones[[#This Row],[_Task]]="","",INDEX(tsk_Variance,RoadmapMilestones[[#This Row],[_Task]]))</f>
        <v/>
      </c>
    </row>
    <row r="33" customFormat="false" ht="15" hidden="false" customHeight="false" outlineLevel="0" collapsed="false">
      <c r="B33" s="42"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2" t="str">
        <f aca="false">IF(RoadmapMilestones[[#This Row],[_Task]]="","",IF(N(INDEX(tsk_PlanFinish,RoadmapMilestones[[#This Row],[_Task]]))=0,"",INDEX(tsk_PlanFinish,RoadmapMilestones[[#This Row],[_Task]])))</f>
        <v/>
      </c>
      <c r="F33" s="52" t="str">
        <f aca="false">IF(RoadmapMilestones[[#This Row],[_Task]]="","",IF(N(INDEX(tsk_Deadline,RoadmapMilestones[[#This Row],[_Task]]))=0,"",INDEX(tsk_Deadline,RoadmapMilestones[[#This Row],[_Task]])))</f>
        <v/>
      </c>
      <c r="G33" s="52"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4" t="str">
        <f aca="false">IF(RoadmapMilestones[[#This Row],[_Task]]="","",INDEX(tsk_Variance,RoadmapMilestones[[#This Row],[_Task]]))</f>
        <v/>
      </c>
    </row>
    <row r="34" customFormat="false" ht="15" hidden="false" customHeight="false" outlineLevel="0" collapsed="false">
      <c r="B34" s="42"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2" t="str">
        <f aca="false">IF(RoadmapMilestones[[#This Row],[_Task]]="","",IF(N(INDEX(tsk_PlanFinish,RoadmapMilestones[[#This Row],[_Task]]))=0,"",INDEX(tsk_PlanFinish,RoadmapMilestones[[#This Row],[_Task]])))</f>
        <v/>
      </c>
      <c r="F34" s="52" t="str">
        <f aca="false">IF(RoadmapMilestones[[#This Row],[_Task]]="","",IF(N(INDEX(tsk_Deadline,RoadmapMilestones[[#This Row],[_Task]]))=0,"",INDEX(tsk_Deadline,RoadmapMilestones[[#This Row],[_Task]])))</f>
        <v/>
      </c>
      <c r="G34" s="52"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4" t="str">
        <f aca="false">IF(RoadmapMilestones[[#This Row],[_Task]]="","",INDEX(tsk_Variance,RoadmapMilestones[[#This Row],[_Task]]))</f>
        <v/>
      </c>
    </row>
    <row r="35" customFormat="false" ht="15" hidden="false" customHeight="false" outlineLevel="0" collapsed="false">
      <c r="B35" s="42"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2" t="str">
        <f aca="false">IF(RoadmapMilestones[[#This Row],[_Task]]="","",IF(N(INDEX(tsk_PlanFinish,RoadmapMilestones[[#This Row],[_Task]]))=0,"",INDEX(tsk_PlanFinish,RoadmapMilestones[[#This Row],[_Task]])))</f>
        <v/>
      </c>
      <c r="F35" s="52" t="str">
        <f aca="false">IF(RoadmapMilestones[[#This Row],[_Task]]="","",IF(N(INDEX(tsk_Deadline,RoadmapMilestones[[#This Row],[_Task]]))=0,"",INDEX(tsk_Deadline,RoadmapMilestones[[#This Row],[_Task]])))</f>
        <v/>
      </c>
      <c r="G35" s="52"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4" t="str">
        <f aca="false">IF(RoadmapMilestones[[#This Row],[_Task]]="","",INDEX(tsk_Variance,RoadmapMilestones[[#This Row],[_Task]]))</f>
        <v/>
      </c>
    </row>
    <row r="37" customFormat="false" ht="15" hidden="false" customHeight="false" outlineLevel="0" collapsed="false">
      <c r="C37" s="53"/>
      <c r="D37" s="54" t="s">
        <v>192</v>
      </c>
      <c r="E37" s="55"/>
      <c r="F37" s="54" t="s">
        <v>193</v>
      </c>
      <c r="G37" s="56"/>
      <c r="H37" s="54" t="s">
        <v>194</v>
      </c>
      <c r="I37" s="57"/>
      <c r="J37" s="54" t="s">
        <v>195</v>
      </c>
    </row>
    <row r="38" customFormat="false" ht="15" hidden="false" customHeight="false" outlineLevel="0" collapsed="false">
      <c r="C38" s="58"/>
      <c r="D38" s="54" t="s">
        <v>189</v>
      </c>
      <c r="E38" s="59"/>
      <c r="F38" s="54" t="s">
        <v>196</v>
      </c>
      <c r="G38" s="60"/>
      <c r="H38" s="54" t="s">
        <v>197</v>
      </c>
    </row>
    <row r="39" customFormat="false" ht="15" hidden="false" customHeight="false" outlineLevel="0" collapsed="false">
      <c r="C39" s="2" t="s">
        <v>198</v>
      </c>
    </row>
  </sheetData>
  <sheetProtection sheet="true" formatColumns="false" formatRows="false" sort="false" autoFilter="false"/>
  <conditionalFormatting sqref="M8:M17">
    <cfRule type="expression" priority="2" aboveAverage="0" equalAverage="0" bottom="0" percent="0" rank="0" text="" dxfId="18">
      <formula>M8="Green"</formula>
    </cfRule>
    <cfRule type="expression" priority="3" aboveAverage="0" equalAverage="0" bottom="0" percent="0" rank="0" text="" dxfId="19">
      <formula>M8="Amber"</formula>
    </cfRule>
    <cfRule type="expression" priority="4" aboveAverage="0" equalAverage="0" bottom="0" percent="0" rank="0" text="" dxfId="20">
      <formula>M8="Red"</formula>
    </cfRule>
  </conditionalFormatting>
  <conditionalFormatting sqref="R8:AI17">
    <cfRule type="expression" priority="5" aboveAverage="0" equalAverage="0" bottom="0" percent="0" rank="0" text="" dxfId="25">
      <formula>AND(AND(ISNUMBER($H8),ISNUMBER($I8),R$5&lt;=$I8,EDATE(R$5,1)&gt;$H8),N($J8)&gt;0,R$5&lt;$H8+($I8-$H8+1)*N($J8))</formula>
    </cfRule>
    <cfRule type="expression" priority="6" aboveAverage="0" equalAverage="0" bottom="0" percent="0" rank="0" text="" dxfId="26">
      <formula>AND(AND(ISNUMBER($H8),ISNUMBER($I8),R$5&lt;=$I8,EDATE(R$5,1)&gt;$H8),N($K8)&gt;0)</formula>
    </cfRule>
    <cfRule type="expression" priority="7" aboveAverage="0" equalAverage="0" bottom="0" percent="0" rank="0" text="" dxfId="27">
      <formula>AND(ISNUMBER($H8),ISNUMBER($I8),R$5&lt;=$I8,EDATE(R$5,1)&gt;$H8)</formula>
    </cfRule>
    <cfRule type="expression" priority="8" aboveAverage="0" equalAverage="0" bottom="0" percent="0" rank="0" text="" dxfId="28">
      <formula>AND(ISNUMBER($F8),ISNUMBER($G8),R$5&lt;=$G8,EDATE(R$5,1)&gt;$F8)</formula>
    </cfRule>
    <cfRule type="expression" priority="9" aboveAverage="0" equalAverage="0" bottom="0" percent="0" rank="0" text="" dxfId="29">
      <formula>AND(StatusDate&gt;=R$5,StatusDate&lt;EDATE(R$5,1))</formula>
    </cfRule>
  </conditionalFormatting>
  <conditionalFormatting sqref="R21:AI35">
    <cfRule type="expression" priority="10" aboveAverage="0" equalAverage="0" bottom="0" percent="0" rank="0" text="" dxfId="30">
      <formula>AND(AND(ISNUMBER($G21),$G21&gt;=R$5,$G21&lt;EDATE(R$5,1)),LEFT($H21,4)="Late")</formula>
    </cfRule>
    <cfRule type="expression" priority="11" aboveAverage="0" equalAverage="0" bottom="0" percent="0" rank="0" text="" dxfId="31">
      <formula>AND(ISNUMBER($G21),$G21&gt;=R$5,$G21&lt;EDATE(R$5,1))</formula>
    </cfRule>
    <cfRule type="expression" priority="12" aboveAverage="0" equalAverage="0" bottom="0" percent="0" rank="0" text="" dxfId="28">
      <formula>AND(ISNUMBER($E21),$E21&gt;=R$5,$E21&lt;EDATE(R$5,1))</formula>
    </cfRule>
    <cfRule type="expression" priority="13" aboveAverage="0" equalAverage="0" bottom="0" percent="0" rank="0" text="" dxfId="32">
      <formula>AND(ISNUMBER($F21),$F21&gt;=R$5,$F21&lt;EDATE(R$5,1))</formula>
    </cfRule>
    <cfRule type="expression" priority="14" aboveAverage="0" equalAverage="0" bottom="0" percent="0" rank="0" text="" dxfId="29">
      <formula>AND(StatusDate&gt;=R$5,StatusDate&lt;EDATE(R$5,1))</formula>
    </cfRule>
  </conditionalFormatting>
  <conditionalFormatting sqref="H21:H35">
    <cfRule type="expression" priority="15" aboveAverage="0" equalAverage="0" bottom="0" percent="0" rank="0" text="" dxfId="23">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199</v>
      </c>
    </row>
    <row r="2" customFormat="false" ht="15" hidden="false" customHeight="false" outlineLevel="0" collapsed="false">
      <c r="A2" s="2" t="s">
        <v>200</v>
      </c>
    </row>
    <row r="4" customFormat="false" ht="23.85" hidden="false" customHeight="false" outlineLevel="0" collapsed="false">
      <c r="B4" s="17" t="s">
        <v>201</v>
      </c>
      <c r="C4" s="17" t="s">
        <v>117</v>
      </c>
      <c r="D4" s="17" t="s">
        <v>202</v>
      </c>
      <c r="E4" s="17" t="s">
        <v>173</v>
      </c>
      <c r="F4" s="28" t="s">
        <v>203</v>
      </c>
      <c r="G4" s="18" t="s">
        <v>204</v>
      </c>
      <c r="I4" s="18" t="s">
        <v>205</v>
      </c>
      <c r="K4" s="18" t="s">
        <v>206</v>
      </c>
      <c r="M4" s="18" t="s">
        <v>207</v>
      </c>
      <c r="O4" s="18" t="s">
        <v>208</v>
      </c>
      <c r="Q4" s="18" t="s">
        <v>209</v>
      </c>
      <c r="S4" s="18" t="s">
        <v>210</v>
      </c>
      <c r="U4" s="18" t="s">
        <v>120</v>
      </c>
      <c r="W4" s="18" t="s">
        <v>211</v>
      </c>
      <c r="Y4" s="18" t="s">
        <v>212</v>
      </c>
      <c r="AA4" s="18" t="s">
        <v>213</v>
      </c>
      <c r="AC4" s="18" t="s">
        <v>214</v>
      </c>
      <c r="AE4" s="18" t="s">
        <v>215</v>
      </c>
      <c r="AF4" s="18" t="s">
        <v>216</v>
      </c>
      <c r="AG4" s="18" t="s">
        <v>217</v>
      </c>
      <c r="AH4" s="18" t="s">
        <v>218</v>
      </c>
      <c r="AI4" s="18" t="s">
        <v>219</v>
      </c>
      <c r="AJ4" s="18" t="s">
        <v>220</v>
      </c>
      <c r="AK4" s="18" t="s">
        <v>221</v>
      </c>
      <c r="AL4" s="18" t="s">
        <v>222</v>
      </c>
      <c r="AM4" s="18" t="s">
        <v>223</v>
      </c>
      <c r="AN4" s="18" t="s">
        <v>224</v>
      </c>
      <c r="AO4" s="18" t="s">
        <v>225</v>
      </c>
      <c r="AP4" s="18" t="s">
        <v>226</v>
      </c>
      <c r="AQ4" s="18" t="s">
        <v>227</v>
      </c>
      <c r="AR4" s="18" t="s">
        <v>228</v>
      </c>
      <c r="AS4" s="18" t="s">
        <v>229</v>
      </c>
      <c r="AT4" s="18" t="s">
        <v>230</v>
      </c>
    </row>
    <row r="5" customFormat="false" ht="15" hidden="false" customHeight="false" outlineLevel="0" collapsed="false">
      <c r="B5" s="61" t="s">
        <v>231</v>
      </c>
      <c r="C5" s="62" t="n">
        <f aca="false">MAX(1,N(ProjectStartDate))</f>
        <v>46272</v>
      </c>
      <c r="D5" s="63" t="s">
        <v>232</v>
      </c>
      <c r="E5" s="2" t="s">
        <v>233</v>
      </c>
      <c r="G5" s="23" t="s">
        <v>234</v>
      </c>
      <c r="I5" s="23" t="s">
        <v>235</v>
      </c>
      <c r="K5" s="23" t="s">
        <v>9</v>
      </c>
      <c r="M5" s="23" t="s">
        <v>236</v>
      </c>
      <c r="O5" s="23" t="s">
        <v>237</v>
      </c>
      <c r="Q5" s="23" t="s">
        <v>238</v>
      </c>
      <c r="S5" s="23" t="n">
        <v>1</v>
      </c>
      <c r="U5" s="23" t="s">
        <v>239</v>
      </c>
      <c r="W5" s="23" t="s">
        <v>240</v>
      </c>
      <c r="Y5" s="23" t="s">
        <v>241</v>
      </c>
      <c r="AA5" s="23" t="s">
        <v>242</v>
      </c>
      <c r="AC5" s="23" t="s">
        <v>243</v>
      </c>
      <c r="AE5" s="23" t="s">
        <v>12</v>
      </c>
      <c r="AF5" s="23" t="n">
        <v>14</v>
      </c>
      <c r="AG5" s="23" t="n">
        <v>3</v>
      </c>
      <c r="AH5" s="23" t="n">
        <v>10</v>
      </c>
      <c r="AI5" s="23" t="s">
        <v>148</v>
      </c>
      <c r="AJ5" s="23" t="s">
        <v>244</v>
      </c>
      <c r="AK5" s="23" t="s">
        <v>245</v>
      </c>
      <c r="AL5" s="23" t="s">
        <v>246</v>
      </c>
      <c r="AM5" s="23" t="s">
        <v>247</v>
      </c>
      <c r="AN5" s="23" t="s">
        <v>139</v>
      </c>
      <c r="AO5" s="64" t="n">
        <v>0</v>
      </c>
      <c r="AP5" s="64" t="n">
        <v>0.15</v>
      </c>
      <c r="AQ5" s="64" t="n">
        <v>0.4</v>
      </c>
      <c r="AR5" s="64" t="n">
        <v>0.7</v>
      </c>
      <c r="AS5" s="64" t="n">
        <v>0.85</v>
      </c>
      <c r="AT5" s="64" t="n">
        <v>1</v>
      </c>
    </row>
    <row r="6" customFormat="false" ht="15" hidden="false" customHeight="false" outlineLevel="0" collapsed="false">
      <c r="B6" s="61" t="s">
        <v>248</v>
      </c>
      <c r="C6" s="62" t="n">
        <f aca="false">IF(N(StatusDateInput)&gt;0,StatusDateInput,ProjectStart)</f>
        <v>46320</v>
      </c>
      <c r="D6" s="63" t="s">
        <v>249</v>
      </c>
      <c r="E6" s="2" t="s">
        <v>250</v>
      </c>
      <c r="G6" s="23" t="s">
        <v>251</v>
      </c>
      <c r="I6" s="23" t="s">
        <v>252</v>
      </c>
      <c r="K6" s="23" t="s">
        <v>253</v>
      </c>
      <c r="M6" s="23" t="s">
        <v>254</v>
      </c>
      <c r="O6" s="23" t="s">
        <v>255</v>
      </c>
      <c r="Q6" s="23" t="s">
        <v>256</v>
      </c>
      <c r="S6" s="23" t="n">
        <v>7</v>
      </c>
      <c r="U6" s="23" t="s">
        <v>257</v>
      </c>
      <c r="W6" s="23" t="s">
        <v>258</v>
      </c>
      <c r="Y6" s="23" t="s">
        <v>142</v>
      </c>
      <c r="AA6" s="23" t="s">
        <v>259</v>
      </c>
      <c r="AC6" s="23" t="s">
        <v>260</v>
      </c>
      <c r="AE6" s="23" t="s">
        <v>261</v>
      </c>
      <c r="AF6" s="23" t="n">
        <v>28</v>
      </c>
      <c r="AG6" s="23" t="n">
        <v>5</v>
      </c>
      <c r="AH6" s="23" t="n">
        <v>15</v>
      </c>
      <c r="AI6" s="23" t="s">
        <v>148</v>
      </c>
      <c r="AJ6" s="23" t="s">
        <v>262</v>
      </c>
      <c r="AK6" s="23" t="s">
        <v>263</v>
      </c>
      <c r="AL6" s="23" t="s">
        <v>264</v>
      </c>
      <c r="AM6" s="23" t="s">
        <v>265</v>
      </c>
      <c r="AN6" s="23" t="s">
        <v>139</v>
      </c>
      <c r="AO6" s="64" t="n">
        <v>0</v>
      </c>
      <c r="AP6" s="64" t="n">
        <v>0.1</v>
      </c>
      <c r="AQ6" s="64" t="n">
        <v>0.5</v>
      </c>
      <c r="AR6" s="64" t="n">
        <v>0.85</v>
      </c>
      <c r="AS6" s="64" t="n">
        <v>0.95</v>
      </c>
      <c r="AT6" s="64" t="n">
        <v>1</v>
      </c>
    </row>
    <row r="7" customFormat="false" ht="15" hidden="false" customHeight="false" outlineLevel="0" collapsed="false">
      <c r="B7" s="61" t="s">
        <v>266</v>
      </c>
      <c r="C7" s="62" t="n">
        <f aca="false">WORKDAY.INTL(StatusDate-1,1,WorkWeek,Holidays)</f>
        <v>46321</v>
      </c>
      <c r="D7" s="63" t="s">
        <v>267</v>
      </c>
      <c r="E7" s="2"/>
      <c r="G7" s="23" t="s">
        <v>268</v>
      </c>
      <c r="K7" s="23" t="s">
        <v>269</v>
      </c>
      <c r="M7" s="23" t="s">
        <v>270</v>
      </c>
      <c r="Q7" s="23" t="s">
        <v>271</v>
      </c>
      <c r="S7" s="23" t="n">
        <v>30</v>
      </c>
      <c r="U7" s="23" t="s">
        <v>272</v>
      </c>
      <c r="W7" s="23" t="s">
        <v>273</v>
      </c>
      <c r="Y7" s="23" t="s">
        <v>274</v>
      </c>
      <c r="AA7" s="23" t="s">
        <v>275</v>
      </c>
      <c r="AC7" s="23" t="s">
        <v>259</v>
      </c>
      <c r="AE7" s="23" t="s">
        <v>276</v>
      </c>
      <c r="AF7" s="23" t="n">
        <v>14</v>
      </c>
      <c r="AG7" s="23" t="n">
        <v>2</v>
      </c>
      <c r="AH7" s="23" t="n">
        <v>5</v>
      </c>
      <c r="AI7" s="23" t="s">
        <v>148</v>
      </c>
      <c r="AJ7" s="23" t="s">
        <v>244</v>
      </c>
      <c r="AK7" s="23" t="s">
        <v>277</v>
      </c>
      <c r="AL7" s="23" t="s">
        <v>278</v>
      </c>
      <c r="AM7" s="23" t="s">
        <v>279</v>
      </c>
      <c r="AN7" s="23" t="s">
        <v>139</v>
      </c>
      <c r="AO7" s="64" t="n">
        <v>0</v>
      </c>
      <c r="AP7" s="64" t="n">
        <v>0.15</v>
      </c>
      <c r="AQ7" s="64" t="n">
        <v>0.5</v>
      </c>
      <c r="AR7" s="64" t="n">
        <v>0.8</v>
      </c>
      <c r="AS7" s="64" t="n">
        <v>0.95</v>
      </c>
      <c r="AT7" s="64" t="n">
        <v>1</v>
      </c>
    </row>
    <row r="8" customFormat="false" ht="15" hidden="false" customHeight="false" outlineLevel="0" collapsed="false">
      <c r="B8" s="61" t="s">
        <v>280</v>
      </c>
      <c r="C8" s="6" t="s">
        <v>237</v>
      </c>
      <c r="D8" s="63" t="s">
        <v>281</v>
      </c>
      <c r="E8" s="2" t="s">
        <v>282</v>
      </c>
      <c r="G8" s="23" t="s">
        <v>283</v>
      </c>
      <c r="K8" s="23" t="s">
        <v>284</v>
      </c>
      <c r="M8" s="23" t="s">
        <v>285</v>
      </c>
      <c r="S8" s="23" t="n">
        <v>91</v>
      </c>
      <c r="W8" s="23" t="s">
        <v>286</v>
      </c>
      <c r="AA8" s="23" t="s">
        <v>287</v>
      </c>
      <c r="AC8" s="23" t="s">
        <v>275</v>
      </c>
      <c r="AE8" s="23"/>
      <c r="AF8" s="23"/>
      <c r="AG8" s="23"/>
      <c r="AH8" s="23"/>
      <c r="AI8" s="23"/>
      <c r="AJ8" s="23"/>
      <c r="AK8" s="23"/>
      <c r="AL8" s="23"/>
      <c r="AM8" s="23"/>
      <c r="AN8" s="23"/>
      <c r="AO8" s="64"/>
      <c r="AP8" s="64"/>
      <c r="AQ8" s="64"/>
      <c r="AR8" s="64"/>
      <c r="AS8" s="64"/>
      <c r="AT8" s="64"/>
    </row>
    <row r="9" customFormat="false" ht="15" hidden="false" customHeight="false" outlineLevel="0" collapsed="false">
      <c r="B9" s="61" t="s">
        <v>288</v>
      </c>
      <c r="C9" s="64" t="n">
        <v>1</v>
      </c>
      <c r="D9" s="63" t="s">
        <v>289</v>
      </c>
      <c r="E9" s="2" t="s">
        <v>290</v>
      </c>
      <c r="M9" s="23" t="s">
        <v>291</v>
      </c>
      <c r="W9" s="23" t="s">
        <v>292</v>
      </c>
      <c r="AC9" s="23" t="s">
        <v>293</v>
      </c>
      <c r="AE9" s="23"/>
      <c r="AF9" s="23"/>
      <c r="AG9" s="23"/>
      <c r="AH9" s="23"/>
      <c r="AI9" s="23"/>
      <c r="AJ9" s="23"/>
      <c r="AK9" s="23"/>
      <c r="AL9" s="23"/>
      <c r="AM9" s="23"/>
      <c r="AN9" s="23"/>
      <c r="AO9" s="64"/>
      <c r="AP9" s="64"/>
      <c r="AQ9" s="64"/>
      <c r="AR9" s="64"/>
      <c r="AS9" s="64"/>
      <c r="AT9" s="64"/>
    </row>
    <row r="10" customFormat="false" ht="15" hidden="false" customHeight="false" outlineLevel="0" collapsed="false">
      <c r="B10" s="61" t="s">
        <v>294</v>
      </c>
      <c r="C10" s="6" t="s">
        <v>237</v>
      </c>
      <c r="D10" s="63" t="s">
        <v>295</v>
      </c>
      <c r="E10" s="2" t="s">
        <v>296</v>
      </c>
      <c r="M10" s="23" t="s">
        <v>297</v>
      </c>
      <c r="W10" s="23" t="s">
        <v>298</v>
      </c>
      <c r="AE10" s="23"/>
      <c r="AF10" s="23"/>
      <c r="AG10" s="23"/>
      <c r="AH10" s="23"/>
      <c r="AI10" s="23"/>
      <c r="AJ10" s="23"/>
      <c r="AK10" s="23"/>
      <c r="AL10" s="23"/>
      <c r="AM10" s="23"/>
      <c r="AN10" s="23"/>
      <c r="AO10" s="64"/>
      <c r="AP10" s="64"/>
      <c r="AQ10" s="64"/>
      <c r="AR10" s="64"/>
      <c r="AS10" s="64"/>
      <c r="AT10" s="64"/>
    </row>
    <row r="11" customFormat="false" ht="15" hidden="false" customHeight="false" outlineLevel="0" collapsed="false">
      <c r="B11" s="61" t="s">
        <v>299</v>
      </c>
      <c r="C11" s="6" t="s">
        <v>237</v>
      </c>
      <c r="D11" s="63" t="s">
        <v>300</v>
      </c>
      <c r="E11" s="2"/>
      <c r="M11" s="23" t="s">
        <v>301</v>
      </c>
    </row>
    <row r="12" customFormat="false" ht="15" hidden="false" customHeight="false" outlineLevel="0" collapsed="false">
      <c r="B12" s="61" t="s">
        <v>302</v>
      </c>
      <c r="C12" s="6" t="s">
        <v>237</v>
      </c>
      <c r="D12" s="63" t="s">
        <v>303</v>
      </c>
      <c r="E12" s="2"/>
      <c r="M12" s="23" t="s">
        <v>304</v>
      </c>
    </row>
    <row r="13" customFormat="false" ht="15" hidden="false" customHeight="false" outlineLevel="0" collapsed="false">
      <c r="B13" s="61" t="s">
        <v>305</v>
      </c>
      <c r="C13" s="6" t="s">
        <v>237</v>
      </c>
      <c r="D13" s="63" t="s">
        <v>306</v>
      </c>
      <c r="E13" s="2"/>
    </row>
    <row r="14" customFormat="false" ht="15" hidden="false" customHeight="false" outlineLevel="0" collapsed="false">
      <c r="B14" s="61" t="s">
        <v>307</v>
      </c>
      <c r="C14" s="6" t="s">
        <v>237</v>
      </c>
      <c r="D14" s="63" t="s">
        <v>308</v>
      </c>
      <c r="E14" s="2"/>
      <c r="G14" s="2" t="s">
        <v>309</v>
      </c>
    </row>
    <row r="15" customFormat="false" ht="15" hidden="false" customHeight="false" outlineLevel="0" collapsed="false">
      <c r="B15" s="61" t="s">
        <v>310</v>
      </c>
      <c r="C15" s="6" t="s">
        <v>255</v>
      </c>
      <c r="D15" s="63" t="s">
        <v>311</v>
      </c>
      <c r="E15" s="2"/>
    </row>
    <row r="16" customFormat="false" ht="15" hidden="false" customHeight="false" outlineLevel="0" collapsed="false">
      <c r="B16" s="61" t="s">
        <v>312</v>
      </c>
      <c r="C16" s="6" t="s">
        <v>255</v>
      </c>
      <c r="D16" s="63" t="s">
        <v>313</v>
      </c>
      <c r="E16" s="2"/>
    </row>
    <row r="17" customFormat="false" ht="15" hidden="false" customHeight="false" outlineLevel="0" collapsed="false">
      <c r="B17" s="61" t="s">
        <v>314</v>
      </c>
      <c r="C17" s="65" t="str">
        <f aca="false">IF(WorkingWeek="Mon-Fri","0000011",IF(WorkingWeek="Sun-Thu","0000110",IF(WorkingWeek="Mon-Sat","0000001",IF(WorkMon="Yes","0","1")&amp;IF(WorkTue="Yes","0","1")&amp;IF(WorkWed="Yes","0","1")&amp;IF(WorkThu="Yes","0","1")&amp;IF(WorkFri="Yes","0","1")&amp;IF(WorkSat="Yes","0","1")&amp;IF(WorkSun="Yes","0","1"))))</f>
        <v>0000011</v>
      </c>
      <c r="D17" s="63" t="s">
        <v>315</v>
      </c>
      <c r="E17" s="2" t="s">
        <v>316</v>
      </c>
    </row>
    <row r="18" customFormat="false" ht="15" hidden="false" customHeight="false" outlineLevel="0" collapsed="false">
      <c r="B18" s="61" t="s">
        <v>317</v>
      </c>
      <c r="C18" s="7" t="n">
        <f aca="false">MAX(ProjectStart,StatusDate-14)</f>
        <v>46306</v>
      </c>
      <c r="D18" s="63" t="s">
        <v>318</v>
      </c>
      <c r="E18" s="2" t="s">
        <v>319</v>
      </c>
    </row>
    <row r="19" customFormat="false" ht="15" hidden="false" customHeight="false" outlineLevel="0" collapsed="false">
      <c r="B19" s="61" t="s">
        <v>320</v>
      </c>
      <c r="C19" s="7" t="n">
        <f aca="false">ViewFrom-WEEKDAY(ViewFrom,3)</f>
        <v>46300</v>
      </c>
      <c r="D19" s="63" t="s">
        <v>321</v>
      </c>
      <c r="E19" s="2" t="s">
        <v>322</v>
      </c>
    </row>
    <row r="20" customFormat="false" ht="15" hidden="false" customHeight="false" outlineLevel="0" collapsed="false">
      <c r="B20" s="61" t="s">
        <v>323</v>
      </c>
      <c r="C20" s="66" t="n">
        <v>1</v>
      </c>
      <c r="D20" s="63" t="s">
        <v>324</v>
      </c>
      <c r="E20" s="2" t="s">
        <v>325</v>
      </c>
    </row>
    <row r="21" customFormat="false" ht="15" hidden="false" customHeight="false" outlineLevel="0" collapsed="false">
      <c r="B21" s="61" t="s">
        <v>326</v>
      </c>
      <c r="C21" s="66" t="n">
        <v>9</v>
      </c>
      <c r="D21" s="63" t="s">
        <v>327</v>
      </c>
      <c r="E21" s="2" t="s">
        <v>328</v>
      </c>
    </row>
    <row r="22" customFormat="false" ht="15" hidden="false" customHeight="false" outlineLevel="0" collapsed="false">
      <c r="B22" s="61" t="s">
        <v>329</v>
      </c>
      <c r="C22" s="6" t="s">
        <v>237</v>
      </c>
      <c r="D22" s="63" t="s">
        <v>330</v>
      </c>
      <c r="E22" s="2" t="s">
        <v>331</v>
      </c>
    </row>
    <row r="23" customFormat="false" ht="15" hidden="false" customHeight="false" outlineLevel="0" collapsed="false">
      <c r="B23" s="61" t="s">
        <v>332</v>
      </c>
      <c r="C23" s="67" t="n">
        <f aca="false">DATE(YEAR(ProjectStart),MONTH(ProjectStart),1)</f>
        <v>46266</v>
      </c>
      <c r="D23" s="63" t="s">
        <v>333</v>
      </c>
      <c r="E23" s="2" t="s">
        <v>334</v>
      </c>
    </row>
    <row r="24" customFormat="false" ht="15" hidden="false" customHeight="false" outlineLevel="0" collapsed="false">
      <c r="B24" s="61" t="s">
        <v>335</v>
      </c>
      <c r="C24" s="64" t="n">
        <v>0.8</v>
      </c>
      <c r="D24" s="63" t="s">
        <v>336</v>
      </c>
      <c r="E24" s="2" t="s">
        <v>337</v>
      </c>
    </row>
    <row r="25" customFormat="false" ht="15" hidden="false" customHeight="false" outlineLevel="0" collapsed="false">
      <c r="B25" s="61" t="s">
        <v>338</v>
      </c>
      <c r="C25" s="68" t="n">
        <f aca="false">MAX(tsk_People)</f>
        <v>2</v>
      </c>
      <c r="D25" s="63" t="s">
        <v>339</v>
      </c>
      <c r="E25" s="2" t="s">
        <v>340</v>
      </c>
    </row>
    <row r="26" customFormat="false" ht="15" hidden="false" customHeight="false" outlineLevel="0" collapsed="false">
      <c r="B26" s="61" t="s">
        <v>341</v>
      </c>
      <c r="C26" s="66" t="n">
        <v>0</v>
      </c>
      <c r="D26" s="63" t="s">
        <v>342</v>
      </c>
      <c r="E26" s="2" t="s">
        <v>343</v>
      </c>
    </row>
    <row r="27" customFormat="false" ht="15" hidden="false" customHeight="false" outlineLevel="0" collapsed="false">
      <c r="B27" s="61" t="s">
        <v>344</v>
      </c>
      <c r="C27" s="62" t="n">
        <f aca="false">MAX(tsk_LeafFcstFinish)</f>
        <v>46324</v>
      </c>
      <c r="D27" s="63" t="s">
        <v>345</v>
      </c>
      <c r="E27" s="2" t="s">
        <v>346</v>
      </c>
    </row>
    <row r="28" customFormat="false" ht="15" hidden="false" customHeight="false" outlineLevel="0" collapsed="false">
      <c r="B28" s="61" t="s">
        <v>347</v>
      </c>
      <c r="C28" s="62" t="n">
        <f aca="false">MAX(tsk_PlanFinish)</f>
        <v>46318</v>
      </c>
      <c r="D28" s="63" t="s">
        <v>348</v>
      </c>
      <c r="E28" s="2" t="s">
        <v>349</v>
      </c>
    </row>
    <row r="29" customFormat="false" ht="15" hidden="false" customHeight="false" outlineLevel="0" collapsed="false">
      <c r="B29" s="61" t="s">
        <v>350</v>
      </c>
      <c r="C29" s="65" t="n">
        <f aca="false">COUNT(tsk_BaseStart)&gt;0</f>
        <v>1</v>
      </c>
      <c r="D29" s="63" t="s">
        <v>351</v>
      </c>
      <c r="E29" s="2" t="s">
        <v>352</v>
      </c>
    </row>
    <row r="30" customFormat="false" ht="15" hidden="false" customHeight="false" outlineLevel="0" collapsed="false">
      <c r="B30" s="61" t="s">
        <v>353</v>
      </c>
      <c r="C30" s="69" t="n">
        <f aca="false">IF(ProjectFinish&gt;=PlannedFinish,NETWORKDAYS.INTL(PlannedFinish,ProjectFinish,WorkWeek,Holidays)-1,1-NETWORKDAYS.INTL(ProjectFinish,PlannedFinish,WorkWeek,Holidays))</f>
        <v>4</v>
      </c>
      <c r="D30" s="63" t="s">
        <v>354</v>
      </c>
      <c r="E30" s="2" t="s">
        <v>355</v>
      </c>
    </row>
    <row r="31" customFormat="false" ht="15" hidden="false" customHeight="false" outlineLevel="0" collapsed="false">
      <c r="B31" s="61" t="s">
        <v>356</v>
      </c>
      <c r="C31" s="66" t="n">
        <v>10</v>
      </c>
      <c r="D31" s="63" t="s">
        <v>357</v>
      </c>
      <c r="E31" s="2" t="s">
        <v>358</v>
      </c>
    </row>
    <row r="32" customFormat="false" ht="15" hidden="false" customHeight="false" outlineLevel="0" collapsed="false">
      <c r="B32" s="61" t="s">
        <v>359</v>
      </c>
      <c r="C32" s="62" t="n">
        <f aca="false">WORKDAY.INTL(StatusDate-1,LookaheadDays,WorkWeek,Holidays)</f>
        <v>46332</v>
      </c>
      <c r="D32" s="63" t="s">
        <v>360</v>
      </c>
      <c r="E32" s="2"/>
    </row>
    <row r="33" customFormat="false" ht="15" hidden="false" customHeight="false" outlineLevel="0" collapsed="false">
      <c r="B33" s="61" t="s">
        <v>361</v>
      </c>
      <c r="C33" s="66" t="n">
        <f aca="false">IFERROR(INDEX(ProjectPresets[Amber Slip],MATCH(ProjectType,ProjectPresets[Project Type],0)),3)</f>
        <v>3</v>
      </c>
      <c r="D33" s="63" t="s">
        <v>362</v>
      </c>
      <c r="E33" s="2" t="s">
        <v>363</v>
      </c>
    </row>
    <row r="34" customFormat="false" ht="15" hidden="false" customHeight="false" outlineLevel="0" collapsed="false">
      <c r="B34" s="61" t="s">
        <v>364</v>
      </c>
      <c r="C34" s="66" t="n">
        <f aca="false">IFERROR(INDEX(ProjectPresets[Red Slip],MATCH(ProjectType,ProjectPresets[Project Type],0)),10)</f>
        <v>10</v>
      </c>
      <c r="D34" s="63" t="s">
        <v>365</v>
      </c>
      <c r="E34" s="2" t="s">
        <v>366</v>
      </c>
    </row>
    <row r="35" customFormat="false" ht="15" hidden="false" customHeight="false" outlineLevel="0" collapsed="false">
      <c r="B35" s="61" t="s">
        <v>367</v>
      </c>
      <c r="C35" s="70" t="n">
        <v>0.95</v>
      </c>
      <c r="D35" s="63" t="s">
        <v>368</v>
      </c>
      <c r="E35" s="2" t="s">
        <v>369</v>
      </c>
    </row>
    <row r="36" customFormat="false" ht="15" hidden="false" customHeight="false" outlineLevel="0" collapsed="false">
      <c r="B36" s="61" t="s">
        <v>370</v>
      </c>
      <c r="C36" s="70" t="n">
        <v>0.85</v>
      </c>
      <c r="D36" s="63" t="s">
        <v>371</v>
      </c>
      <c r="E36" s="2"/>
    </row>
    <row r="37" customFormat="false" ht="15" hidden="false" customHeight="false" outlineLevel="0" collapsed="false">
      <c r="B37" s="61" t="s">
        <v>372</v>
      </c>
      <c r="C37" s="66" t="n">
        <v>15</v>
      </c>
      <c r="D37" s="63" t="s">
        <v>373</v>
      </c>
      <c r="E37" s="2" t="s">
        <v>374</v>
      </c>
    </row>
    <row r="38" customFormat="false" ht="15" hidden="false" customHeight="false" outlineLevel="0" collapsed="false">
      <c r="B38" s="61" t="s">
        <v>375</v>
      </c>
      <c r="C38" s="66" t="n">
        <v>8</v>
      </c>
      <c r="D38" s="63" t="s">
        <v>376</v>
      </c>
      <c r="E38" s="2"/>
    </row>
    <row r="39" customFormat="false" ht="15" hidden="false" customHeight="false" outlineLevel="0" collapsed="false">
      <c r="B39" s="61" t="s">
        <v>377</v>
      </c>
      <c r="C39" s="7" t="n">
        <f aca="false">MAX(2,ViewFrom-WEEKDAY(ViewFrom,3))</f>
        <v>46300</v>
      </c>
      <c r="D39" s="63" t="s">
        <v>378</v>
      </c>
      <c r="E39" s="2" t="s">
        <v>379</v>
      </c>
    </row>
    <row r="40" customFormat="false" ht="15" hidden="false" customHeight="false" outlineLevel="0" collapsed="false">
      <c r="B40" s="61" t="s">
        <v>380</v>
      </c>
      <c r="C40" s="68" t="n">
        <f aca="false">MAX(tsk_UID)+1</f>
        <v>214</v>
      </c>
      <c r="D40" s="63" t="s">
        <v>381</v>
      </c>
      <c r="E40" s="2" t="s">
        <v>382</v>
      </c>
    </row>
    <row r="41" customFormat="false" ht="15" hidden="false" customHeight="false" outlineLevel="0" collapsed="false">
      <c r="B41" s="61" t="s">
        <v>383</v>
      </c>
      <c r="C41" s="6" t="s">
        <v>255</v>
      </c>
      <c r="D41" s="63" t="s">
        <v>384</v>
      </c>
      <c r="E41" s="2" t="s">
        <v>385</v>
      </c>
    </row>
    <row r="42" customFormat="false" ht="15" hidden="false" customHeight="false" outlineLevel="0" collapsed="false">
      <c r="B42" s="61" t="s">
        <v>386</v>
      </c>
      <c r="C42" s="68" t="n">
        <f aca="false">COUNTIF(tsk_Issues,"*is used twice*")</f>
        <v>0</v>
      </c>
      <c r="D42" s="63" t="s">
        <v>387</v>
      </c>
      <c r="E42" s="2" t="s">
        <v>388</v>
      </c>
    </row>
    <row r="43" customFormat="false" ht="15" hidden="false" customHeight="false" outlineLevel="0" collapsed="false">
      <c r="B43" s="61" t="s">
        <v>389</v>
      </c>
      <c r="C43" s="68" t="n">
        <f aca="false">COUNTIF(tsk_Issues,"No UID*")</f>
        <v>0</v>
      </c>
      <c r="D43" s="63" t="s">
        <v>390</v>
      </c>
      <c r="E43" s="2" t="s">
        <v>391</v>
      </c>
    </row>
    <row r="45" customFormat="false" ht="15" hidden="false" customHeight="false" outlineLevel="0" collapsed="false">
      <c r="B45" s="28" t="s">
        <v>392</v>
      </c>
    </row>
    <row r="46" customFormat="false" ht="15" hidden="false" customHeight="false" outlineLevel="0" collapsed="false">
      <c r="B46" s="18" t="s">
        <v>393</v>
      </c>
      <c r="C46" s="18" t="s">
        <v>394</v>
      </c>
    </row>
    <row r="47" customFormat="false" ht="15" hidden="false" customHeight="false" outlineLevel="0" collapsed="false">
      <c r="B47" s="23" t="str">
        <f aca="false">IFERROR(INDEX(ProjectPresets[[Stage 1]:[Stage 6]],MATCH(ProjectType,ProjectPresets[Project Type],0),ROW()-ROW(StageTable[[#Headers],[Stage]]))&amp;"","")</f>
        <v>Not Started</v>
      </c>
      <c r="C47" s="64" t="n">
        <f aca="false">N(IFERROR(INDEX(ProjectPresets[[% 1]:[% 6]],MATCH(ProjectType,ProjectPresets[Project Type],0),ROW()-ROW(StageTable[[#Headers],[Stage]])),0))</f>
        <v>0</v>
      </c>
    </row>
    <row r="48" customFormat="false" ht="15" hidden="false" customHeight="false" outlineLevel="0" collapsed="false">
      <c r="B48" s="23" t="str">
        <f aca="false">IFERROR(INDEX(ProjectPresets[[Stage 1]:[Stage 6]],MATCH(ProjectType,ProjectPresets[Project Type],0),ROW()-ROW(StageTable[[#Headers],[Stage]]))&amp;"","")</f>
        <v>Design</v>
      </c>
      <c r="C48" s="64" t="n">
        <f aca="false">N(IFERROR(INDEX(ProjectPresets[[% 1]:[% 6]],MATCH(ProjectType,ProjectPresets[Project Type],0),ROW()-ROW(StageTable[[#Headers],[Stage]])),0))</f>
        <v>0.15</v>
      </c>
    </row>
    <row r="49" customFormat="false" ht="15" hidden="false" customHeight="false" outlineLevel="0" collapsed="false">
      <c r="B49" s="23" t="str">
        <f aca="false">IFERROR(INDEX(ProjectPresets[[Stage 1]:[Stage 6]],MATCH(ProjectType,ProjectPresets[Project Type],0),ROW()-ROW(StageTable[[#Headers],[Stage]]))&amp;"","")</f>
        <v>In Development</v>
      </c>
      <c r="C49" s="64" t="n">
        <f aca="false">N(IFERROR(INDEX(ProjectPresets[[% 1]:[% 6]],MATCH(ProjectType,ProjectPresets[Project Type],0),ROW()-ROW(StageTable[[#Headers],[Stage]])),0))</f>
        <v>0.4</v>
      </c>
    </row>
    <row r="50" customFormat="false" ht="15" hidden="false" customHeight="false" outlineLevel="0" collapsed="false">
      <c r="B50" s="23" t="str">
        <f aca="false">IFERROR(INDEX(ProjectPresets[[Stage 1]:[Stage 6]],MATCH(ProjectType,ProjectPresets[Project Type],0),ROW()-ROW(StageTable[[#Headers],[Stage]]))&amp;"","")</f>
        <v>Test Ready</v>
      </c>
      <c r="C50" s="64" t="n">
        <f aca="false">N(IFERROR(INDEX(ProjectPresets[[% 1]:[% 6]],MATCH(ProjectType,ProjectPresets[Project Type],0),ROW()-ROW(StageTable[[#Headers],[Stage]])),0))</f>
        <v>0.7</v>
      </c>
    </row>
    <row r="51" customFormat="false" ht="15" hidden="false" customHeight="false" outlineLevel="0" collapsed="false">
      <c r="B51" s="23" t="str">
        <f aca="false">IFERROR(INDEX(ProjectPresets[[Stage 1]:[Stage 6]],MATCH(ProjectType,ProjectPresets[Project Type],0),ROW()-ROW(StageTable[[#Headers],[Stage]]))&amp;"","")</f>
        <v>In Testing</v>
      </c>
      <c r="C51" s="64" t="n">
        <f aca="false">N(IFERROR(INDEX(ProjectPresets[[% 1]:[% 6]],MATCH(ProjectType,ProjectPresets[Project Type],0),ROW()-ROW(StageTable[[#Headers],[Stage]])),0))</f>
        <v>0.85</v>
      </c>
    </row>
    <row r="52" customFormat="false" ht="15" hidden="false" customHeight="false" outlineLevel="0" collapsed="false">
      <c r="B52" s="23" t="str">
        <f aca="false">IFERROR(INDEX(ProjectPresets[[Stage 1]:[Stage 6]],MATCH(ProjectType,ProjectPresets[Project Type],0),ROW()-ROW(StageTable[[#Headers],[Stage]]))&amp;"","")</f>
        <v>Complete</v>
      </c>
      <c r="C52" s="64" t="n">
        <f aca="false">N(IFERROR(INDEX(ProjectPresets[[% 1]:[% 6]],MATCH(ProjectType,ProjectPresets[Project Type],0),ROW()-ROW(StageTable[[#Headers],[Stage]])),0))</f>
        <v>1</v>
      </c>
    </row>
    <row r="54" customFormat="false" ht="15" hidden="false" customHeight="false" outlineLevel="0" collapsed="false">
      <c r="B54" s="28" t="s">
        <v>395</v>
      </c>
    </row>
    <row r="55" customFormat="false" ht="15" hidden="false" customHeight="false" outlineLevel="0" collapsed="false">
      <c r="B55" s="18" t="s">
        <v>396</v>
      </c>
      <c r="C55" s="18" t="s">
        <v>397</v>
      </c>
    </row>
    <row r="56" customFormat="false" ht="15" hidden="false" customHeight="false" outlineLevel="0" collapsed="false">
      <c r="B56" s="7" t="n">
        <v>46380</v>
      </c>
      <c r="C56" s="23" t="s">
        <v>398</v>
      </c>
    </row>
    <row r="57" customFormat="false" ht="15" hidden="false" customHeight="false" outlineLevel="0" collapsed="false">
      <c r="B57" s="7" t="n">
        <v>46381</v>
      </c>
      <c r="C57" s="23" t="s">
        <v>399</v>
      </c>
    </row>
    <row r="58" customFormat="false" ht="15" hidden="false" customHeight="false" outlineLevel="0" collapsed="false">
      <c r="B58" s="7" t="n">
        <v>46387</v>
      </c>
      <c r="C58" s="23" t="s">
        <v>400</v>
      </c>
    </row>
    <row r="59" customFormat="false" ht="15" hidden="false" customHeight="false" outlineLevel="0" collapsed="false">
      <c r="B59" s="7" t="n">
        <v>46388</v>
      </c>
      <c r="C59" s="23" t="s">
        <v>401</v>
      </c>
    </row>
    <row r="60" customFormat="false" ht="15" hidden="false" customHeight="false" outlineLevel="0" collapsed="false">
      <c r="B60" s="7"/>
      <c r="C60" s="23"/>
    </row>
    <row r="61" customFormat="false" ht="15" hidden="false" customHeight="false" outlineLevel="0" collapsed="false">
      <c r="B61" s="7"/>
      <c r="C61" s="23"/>
    </row>
    <row r="62" customFormat="false" ht="15" hidden="false" customHeight="false" outlineLevel="0" collapsed="false">
      <c r="B62" s="7"/>
      <c r="C62" s="23"/>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sheetData>
  <dataValidations count="3">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 allowBlank="false" errorStyle="stop" operator="between" showDropDown="false" showErrorMessage="false" showInputMessage="false" sqref="C8 C10:C16 C22 C41" type="list">
      <formula1>L_YesNo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M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true" outlineLevel="2" max="206" min="73" style="0" width="11"/>
    <col collapsed="false" customWidth="true" hidden="false" outlineLevel="0" max="207" min="207" style="0" width="1"/>
    <col collapsed="false" customWidth="true" hidden="false" outlineLevel="0" max="357" min="208" style="0" width="2.9"/>
  </cols>
  <sheetData>
    <row r="1" customFormat="false" ht="19.7" hidden="false" customHeight="false" outlineLevel="0" collapsed="false">
      <c r="A1" s="14" t="str">
        <f aca="false">ProjectName&amp;"  -  Task Entry"</f>
        <v>Customer Portal Implementation  -  Task Entry</v>
      </c>
      <c r="GZ1" s="71"/>
      <c r="HA1" s="72" t="s">
        <v>195</v>
      </c>
      <c r="HK1" s="55"/>
      <c r="HL1" s="72" t="s">
        <v>402</v>
      </c>
      <c r="HV1" s="73"/>
      <c r="HW1" s="72" t="s">
        <v>403</v>
      </c>
      <c r="IG1" s="74"/>
      <c r="IH1" s="72" t="s">
        <v>404</v>
      </c>
      <c r="IR1" s="56"/>
      <c r="IS1" s="72" t="s">
        <v>405</v>
      </c>
      <c r="JC1" s="75"/>
      <c r="JD1" s="72" t="s">
        <v>406</v>
      </c>
    </row>
    <row r="2" customFormat="false" ht="15" hidden="false" customHeight="false" outlineLevel="0" collapsed="false">
      <c r="A2" s="2" t="s">
        <v>407</v>
      </c>
      <c r="GZ2" s="76"/>
      <c r="HA2" s="72" t="s">
        <v>408</v>
      </c>
      <c r="HK2" s="58"/>
      <c r="HL2" s="72" t="s">
        <v>409</v>
      </c>
      <c r="HV2" s="59"/>
      <c r="HW2" s="72" t="s">
        <v>191</v>
      </c>
      <c r="IG2" s="77"/>
      <c r="IH2" s="72" t="s">
        <v>410</v>
      </c>
      <c r="IR2" s="78"/>
      <c r="IS2" s="72" t="s">
        <v>411</v>
      </c>
    </row>
    <row r="3" customFormat="false" ht="15" hidden="false" customHeight="false" outlineLevel="0" collapsed="false">
      <c r="A3" s="28" t="str">
        <f aca="false">"Next free UID for a new row: "&amp;NextFreeUID</f>
        <v>Next free UID for a new row: 214</v>
      </c>
      <c r="AA3" s="79" t="s">
        <v>412</v>
      </c>
      <c r="G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413</v>
      </c>
      <c r="F4" s="28" t="s">
        <v>414</v>
      </c>
      <c r="H4" s="28" t="s">
        <v>415</v>
      </c>
      <c r="S4" s="28" t="s">
        <v>416</v>
      </c>
      <c r="T4" s="28" t="s">
        <v>417</v>
      </c>
      <c r="AB4" s="28" t="s">
        <v>418</v>
      </c>
      <c r="AJ4" s="28" t="s">
        <v>419</v>
      </c>
      <c r="AN4" s="28" t="s">
        <v>420</v>
      </c>
      <c r="BE4" s="28" t="s">
        <v>421</v>
      </c>
      <c r="BI4" s="28" t="s">
        <v>422</v>
      </c>
      <c r="BK4" s="28" t="s">
        <v>423</v>
      </c>
      <c r="BU4" s="28" t="s">
        <v>424</v>
      </c>
      <c r="G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M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425</v>
      </c>
      <c r="B5" s="18" t="s">
        <v>426</v>
      </c>
      <c r="C5" s="18" t="s">
        <v>427</v>
      </c>
      <c r="D5" s="18" t="s">
        <v>428</v>
      </c>
      <c r="E5" s="18" t="s">
        <v>60</v>
      </c>
      <c r="F5" s="18" t="s">
        <v>429</v>
      </c>
      <c r="G5" s="18" t="s">
        <v>430</v>
      </c>
      <c r="H5" s="18" t="s">
        <v>431</v>
      </c>
      <c r="I5" s="18" t="s">
        <v>432</v>
      </c>
      <c r="J5" s="18" t="s">
        <v>433</v>
      </c>
      <c r="K5" s="18" t="s">
        <v>434</v>
      </c>
      <c r="L5" s="18" t="s">
        <v>435</v>
      </c>
      <c r="M5" s="18" t="s">
        <v>436</v>
      </c>
      <c r="N5" s="18" t="s">
        <v>437</v>
      </c>
      <c r="O5" s="18" t="s">
        <v>438</v>
      </c>
      <c r="P5" s="18" t="s">
        <v>439</v>
      </c>
      <c r="Q5" s="18" t="s">
        <v>440</v>
      </c>
      <c r="R5" s="18" t="s">
        <v>73</v>
      </c>
      <c r="S5" s="18" t="s">
        <v>441</v>
      </c>
      <c r="T5" s="18" t="s">
        <v>442</v>
      </c>
      <c r="U5" s="18" t="s">
        <v>443</v>
      </c>
      <c r="V5" s="18" t="s">
        <v>444</v>
      </c>
      <c r="W5" s="18" t="s">
        <v>445</v>
      </c>
      <c r="X5" s="18" t="s">
        <v>446</v>
      </c>
      <c r="Y5" s="18" t="s">
        <v>447</v>
      </c>
      <c r="Z5" s="18" t="s">
        <v>448</v>
      </c>
      <c r="AA5" s="18" t="s">
        <v>163</v>
      </c>
      <c r="AB5" s="18" t="s">
        <v>393</v>
      </c>
      <c r="AC5" s="18" t="s">
        <v>449</v>
      </c>
      <c r="AD5" s="18" t="s">
        <v>450</v>
      </c>
      <c r="AE5" s="17" t="s">
        <v>169</v>
      </c>
      <c r="AF5" s="17" t="s">
        <v>164</v>
      </c>
      <c r="AG5" s="17" t="s">
        <v>451</v>
      </c>
      <c r="AH5" s="18" t="s">
        <v>173</v>
      </c>
      <c r="AI5" s="17" t="s">
        <v>452</v>
      </c>
      <c r="AJ5" s="18" t="s">
        <v>191</v>
      </c>
      <c r="AK5" s="18" t="s">
        <v>75</v>
      </c>
      <c r="AL5" s="18" t="s">
        <v>207</v>
      </c>
      <c r="AM5" s="18" t="s">
        <v>453</v>
      </c>
      <c r="AN5" s="17" t="s">
        <v>165</v>
      </c>
      <c r="AO5" s="17" t="s">
        <v>135</v>
      </c>
      <c r="AP5" s="17" t="s">
        <v>166</v>
      </c>
      <c r="AQ5" s="17" t="s">
        <v>183</v>
      </c>
      <c r="AR5" s="17" t="s">
        <v>184</v>
      </c>
      <c r="AS5" s="17" t="s">
        <v>454</v>
      </c>
      <c r="AT5" s="17" t="s">
        <v>146</v>
      </c>
      <c r="AU5" s="17" t="s">
        <v>455</v>
      </c>
      <c r="AV5" s="17" t="s">
        <v>170</v>
      </c>
      <c r="AW5" s="17" t="s">
        <v>456</v>
      </c>
      <c r="AX5" s="17" t="s">
        <v>168</v>
      </c>
      <c r="AY5" s="17" t="s">
        <v>457</v>
      </c>
      <c r="AZ5" s="18" t="s">
        <v>394</v>
      </c>
      <c r="BA5" s="17" t="s">
        <v>167</v>
      </c>
      <c r="BB5" s="17" t="s">
        <v>458</v>
      </c>
      <c r="BC5" s="17" t="s">
        <v>180</v>
      </c>
      <c r="BD5" s="17" t="s">
        <v>459</v>
      </c>
      <c r="BE5" s="17" t="s">
        <v>238</v>
      </c>
      <c r="BF5" s="18" t="s">
        <v>182</v>
      </c>
      <c r="BG5" s="17" t="s">
        <v>460</v>
      </c>
      <c r="BH5" s="17" t="s">
        <v>461</v>
      </c>
      <c r="BI5" s="18" t="s">
        <v>462</v>
      </c>
      <c r="BJ5" s="18" t="s">
        <v>463</v>
      </c>
      <c r="BK5" s="17" t="s">
        <v>464</v>
      </c>
      <c r="BL5" s="17" t="s">
        <v>465</v>
      </c>
      <c r="BM5" s="17" t="s">
        <v>466</v>
      </c>
      <c r="BN5" s="17" t="s">
        <v>467</v>
      </c>
      <c r="BO5" s="17" t="s">
        <v>468</v>
      </c>
      <c r="BP5" s="17" t="s">
        <v>469</v>
      </c>
      <c r="BQ5" s="18" t="s">
        <v>470</v>
      </c>
      <c r="BR5" s="18" t="s">
        <v>471</v>
      </c>
      <c r="BS5" s="18" t="s">
        <v>472</v>
      </c>
      <c r="BT5" s="18" t="s">
        <v>473</v>
      </c>
      <c r="BU5" s="41" t="s">
        <v>474</v>
      </c>
      <c r="BV5" s="41" t="s">
        <v>475</v>
      </c>
      <c r="BW5" s="41" t="s">
        <v>476</v>
      </c>
      <c r="BX5" s="41" t="s">
        <v>477</v>
      </c>
      <c r="BY5" s="41" t="s">
        <v>478</v>
      </c>
      <c r="BZ5" s="41" t="s">
        <v>479</v>
      </c>
      <c r="CA5" s="41" t="s">
        <v>480</v>
      </c>
      <c r="CB5" s="41" t="s">
        <v>481</v>
      </c>
      <c r="CC5" s="41" t="s">
        <v>482</v>
      </c>
      <c r="CD5" s="41" t="s">
        <v>483</v>
      </c>
      <c r="CE5" s="41" t="s">
        <v>484</v>
      </c>
      <c r="CF5" s="41" t="s">
        <v>485</v>
      </c>
      <c r="CG5" s="41" t="s">
        <v>486</v>
      </c>
      <c r="CH5" s="41" t="s">
        <v>487</v>
      </c>
      <c r="CI5" s="41" t="s">
        <v>488</v>
      </c>
      <c r="CJ5" s="41" t="s">
        <v>489</v>
      </c>
      <c r="CK5" s="41" t="s">
        <v>490</v>
      </c>
      <c r="CL5" s="41" t="s">
        <v>491</v>
      </c>
      <c r="CM5" s="41" t="s">
        <v>492</v>
      </c>
      <c r="CN5" s="41" t="s">
        <v>493</v>
      </c>
      <c r="CO5" s="41" t="s">
        <v>494</v>
      </c>
      <c r="CP5" s="41" t="s">
        <v>495</v>
      </c>
      <c r="CQ5" s="41" t="s">
        <v>496</v>
      </c>
      <c r="CR5" s="41" t="s">
        <v>497</v>
      </c>
      <c r="CS5" s="41" t="s">
        <v>498</v>
      </c>
      <c r="CT5" s="41" t="s">
        <v>499</v>
      </c>
      <c r="CU5" s="41" t="s">
        <v>500</v>
      </c>
      <c r="CV5" s="41" t="s">
        <v>501</v>
      </c>
      <c r="CW5" s="41" t="s">
        <v>502</v>
      </c>
      <c r="CX5" s="41" t="s">
        <v>503</v>
      </c>
      <c r="CY5" s="41" t="s">
        <v>504</v>
      </c>
      <c r="CZ5" s="41" t="s">
        <v>505</v>
      </c>
      <c r="DA5" s="41" t="s">
        <v>506</v>
      </c>
      <c r="DB5" s="41" t="s">
        <v>507</v>
      </c>
      <c r="DC5" s="41" t="s">
        <v>508</v>
      </c>
      <c r="DD5" s="41" t="s">
        <v>509</v>
      </c>
      <c r="DE5" s="41" t="s">
        <v>510</v>
      </c>
      <c r="DF5" s="41" t="s">
        <v>511</v>
      </c>
      <c r="DG5" s="41" t="s">
        <v>512</v>
      </c>
      <c r="DH5" s="41" t="s">
        <v>513</v>
      </c>
      <c r="DI5" s="41" t="s">
        <v>514</v>
      </c>
      <c r="DJ5" s="41" t="s">
        <v>515</v>
      </c>
      <c r="DK5" s="41" t="s">
        <v>516</v>
      </c>
      <c r="DL5" s="41" t="s">
        <v>517</v>
      </c>
      <c r="DM5" s="41" t="s">
        <v>518</v>
      </c>
      <c r="DN5" s="41" t="s">
        <v>519</v>
      </c>
      <c r="DO5" s="41" t="s">
        <v>520</v>
      </c>
      <c r="DP5" s="41" t="s">
        <v>521</v>
      </c>
      <c r="DQ5" s="41" t="s">
        <v>522</v>
      </c>
      <c r="DR5" s="41" t="s">
        <v>523</v>
      </c>
      <c r="DS5" s="41" t="s">
        <v>524</v>
      </c>
      <c r="DT5" s="41" t="s">
        <v>525</v>
      </c>
      <c r="DU5" s="41" t="s">
        <v>526</v>
      </c>
      <c r="DV5" s="41" t="s">
        <v>527</v>
      </c>
      <c r="DW5" s="41" t="s">
        <v>528</v>
      </c>
      <c r="DX5" s="41" t="s">
        <v>529</v>
      </c>
      <c r="DY5" s="41" t="s">
        <v>530</v>
      </c>
      <c r="DZ5" s="41" t="s">
        <v>531</v>
      </c>
      <c r="EA5" s="41" t="s">
        <v>532</v>
      </c>
      <c r="EB5" s="41" t="s">
        <v>533</v>
      </c>
      <c r="EC5" s="41" t="s">
        <v>534</v>
      </c>
      <c r="ED5" s="41" t="s">
        <v>535</v>
      </c>
      <c r="EE5" s="41" t="s">
        <v>536</v>
      </c>
      <c r="EF5" s="41" t="s">
        <v>537</v>
      </c>
      <c r="EG5" s="41" t="s">
        <v>538</v>
      </c>
      <c r="EH5" s="41" t="s">
        <v>539</v>
      </c>
      <c r="EI5" s="41" t="s">
        <v>540</v>
      </c>
      <c r="EJ5" s="41" t="s">
        <v>541</v>
      </c>
      <c r="EK5" s="41" t="s">
        <v>542</v>
      </c>
      <c r="EL5" s="41" t="s">
        <v>543</v>
      </c>
      <c r="EM5" s="41" t="s">
        <v>544</v>
      </c>
      <c r="EN5" s="41" t="s">
        <v>545</v>
      </c>
      <c r="EO5" s="41" t="s">
        <v>546</v>
      </c>
      <c r="EP5" s="41" t="s">
        <v>547</v>
      </c>
      <c r="EQ5" s="41" t="s">
        <v>548</v>
      </c>
      <c r="ER5" s="41" t="s">
        <v>549</v>
      </c>
      <c r="ES5" s="41" t="s">
        <v>550</v>
      </c>
      <c r="ET5" s="41" t="s">
        <v>551</v>
      </c>
      <c r="EU5" s="41" t="s">
        <v>552</v>
      </c>
      <c r="EV5" s="41" t="s">
        <v>553</v>
      </c>
      <c r="EW5" s="41" t="s">
        <v>554</v>
      </c>
      <c r="EX5" s="41" t="s">
        <v>555</v>
      </c>
      <c r="EY5" s="41" t="s">
        <v>556</v>
      </c>
      <c r="EZ5" s="41" t="s">
        <v>557</v>
      </c>
      <c r="FA5" s="41" t="s">
        <v>558</v>
      </c>
      <c r="FB5" s="41" t="s">
        <v>559</v>
      </c>
      <c r="FC5" s="41" t="s">
        <v>560</v>
      </c>
      <c r="FD5" s="41" t="s">
        <v>561</v>
      </c>
      <c r="FE5" s="41" t="s">
        <v>562</v>
      </c>
      <c r="FF5" s="41" t="s">
        <v>563</v>
      </c>
      <c r="FG5" s="41" t="s">
        <v>564</v>
      </c>
      <c r="FH5" s="41" t="s">
        <v>565</v>
      </c>
      <c r="FI5" s="41" t="s">
        <v>566</v>
      </c>
      <c r="FJ5" s="41" t="s">
        <v>567</v>
      </c>
      <c r="FK5" s="41" t="s">
        <v>568</v>
      </c>
      <c r="FL5" s="41" t="s">
        <v>569</v>
      </c>
      <c r="FM5" s="41" t="s">
        <v>570</v>
      </c>
      <c r="FN5" s="41" t="s">
        <v>571</v>
      </c>
      <c r="FO5" s="41" t="s">
        <v>572</v>
      </c>
      <c r="FP5" s="41" t="s">
        <v>573</v>
      </c>
      <c r="FQ5" s="41" t="s">
        <v>574</v>
      </c>
      <c r="FR5" s="41" t="s">
        <v>575</v>
      </c>
      <c r="FS5" s="41" t="s">
        <v>576</v>
      </c>
      <c r="FT5" s="41" t="s">
        <v>577</v>
      </c>
      <c r="FU5" s="41" t="s">
        <v>578</v>
      </c>
      <c r="FV5" s="41" t="s">
        <v>579</v>
      </c>
      <c r="FW5" s="41" t="s">
        <v>580</v>
      </c>
      <c r="FX5" s="41" t="s">
        <v>581</v>
      </c>
      <c r="FY5" s="41" t="s">
        <v>582</v>
      </c>
      <c r="FZ5" s="41" t="s">
        <v>583</v>
      </c>
      <c r="GA5" s="41" t="s">
        <v>584</v>
      </c>
      <c r="GB5" s="41" t="s">
        <v>585</v>
      </c>
      <c r="GC5" s="41" t="s">
        <v>586</v>
      </c>
      <c r="GD5" s="41" t="s">
        <v>587</v>
      </c>
      <c r="GE5" s="41" t="s">
        <v>588</v>
      </c>
      <c r="GF5" s="41" t="s">
        <v>589</v>
      </c>
      <c r="GG5" s="41" t="s">
        <v>590</v>
      </c>
      <c r="GH5" s="41" t="s">
        <v>591</v>
      </c>
      <c r="GI5" s="41" t="s">
        <v>592</v>
      </c>
      <c r="GJ5" s="41" t="s">
        <v>593</v>
      </c>
      <c r="GK5" s="41" t="s">
        <v>594</v>
      </c>
      <c r="GL5" s="41" t="s">
        <v>595</v>
      </c>
      <c r="GM5" s="41" t="s">
        <v>596</v>
      </c>
      <c r="GN5" s="41" t="s">
        <v>597</v>
      </c>
      <c r="GO5" s="41" t="s">
        <v>598</v>
      </c>
      <c r="GP5" s="41" t="s">
        <v>599</v>
      </c>
      <c r="GQ5" s="41" t="s">
        <v>600</v>
      </c>
      <c r="GR5" s="41" t="s">
        <v>601</v>
      </c>
      <c r="GS5" s="41" t="s">
        <v>602</v>
      </c>
      <c r="GT5" s="41" t="s">
        <v>603</v>
      </c>
      <c r="GU5" s="41" t="s">
        <v>604</v>
      </c>
      <c r="GV5" s="41" t="s">
        <v>605</v>
      </c>
      <c r="GW5" s="41" t="s">
        <v>606</v>
      </c>
      <c r="GX5" s="41" t="s">
        <v>607</v>
      </c>
      <c r="GZ5" s="82" t="n">
        <f aca="false">IF(GanttPeriod&lt;28,GanttStart+((COLUMN()-COLUMN(gantt_Origin))-1)*GanttPeriod,EDATE(DATE(YEAR(GanttStart),MONTH(GanttStart)-IF(GanttPeriod&gt;=90,MOD(MONTH(GanttStart)-1,3),0),1),((COLUMN()-COLUMN(gantt_Origin))-1)*IF(GanttPeriod&gt;=90,3,1)))</f>
        <v>46300</v>
      </c>
      <c r="HA5" s="82" t="n">
        <f aca="false">IF(GanttPeriod&lt;28,GanttStart+((COLUMN()-COLUMN(gantt_Origin))-1)*GanttPeriod,EDATE(DATE(YEAR(GanttStart),MONTH(GanttStart)-IF(GanttPeriod&gt;=90,MOD(MONTH(GanttStart)-1,3),0),1),((COLUMN()-COLUMN(gantt_Origin))-1)*IF(GanttPeriod&gt;=90,3,1)))</f>
        <v>46301</v>
      </c>
      <c r="HB5" s="82" t="n">
        <f aca="false">IF(GanttPeriod&lt;28,GanttStart+((COLUMN()-COLUMN(gantt_Origin))-1)*GanttPeriod,EDATE(DATE(YEAR(GanttStart),MONTH(GanttStart)-IF(GanttPeriod&gt;=90,MOD(MONTH(GanttStart)-1,3),0),1),((COLUMN()-COLUMN(gantt_Origin))-1)*IF(GanttPeriod&gt;=90,3,1)))</f>
        <v>46302</v>
      </c>
      <c r="HC5" s="82" t="n">
        <f aca="false">IF(GanttPeriod&lt;28,GanttStart+((COLUMN()-COLUMN(gantt_Origin))-1)*GanttPeriod,EDATE(DATE(YEAR(GanttStart),MONTH(GanttStart)-IF(GanttPeriod&gt;=90,MOD(MONTH(GanttStart)-1,3),0),1),((COLUMN()-COLUMN(gantt_Origin))-1)*IF(GanttPeriod&gt;=90,3,1)))</f>
        <v>46303</v>
      </c>
      <c r="HD5" s="82" t="n">
        <f aca="false">IF(GanttPeriod&lt;28,GanttStart+((COLUMN()-COLUMN(gantt_Origin))-1)*GanttPeriod,EDATE(DATE(YEAR(GanttStart),MONTH(GanttStart)-IF(GanttPeriod&gt;=90,MOD(MONTH(GanttStart)-1,3),0),1),((COLUMN()-COLUMN(gantt_Origin))-1)*IF(GanttPeriod&gt;=90,3,1)))</f>
        <v>46304</v>
      </c>
      <c r="HE5" s="82" t="n">
        <f aca="false">IF(GanttPeriod&lt;28,GanttStart+((COLUMN()-COLUMN(gantt_Origin))-1)*GanttPeriod,EDATE(DATE(YEAR(GanttStart),MONTH(GanttStart)-IF(GanttPeriod&gt;=90,MOD(MONTH(GanttStart)-1,3),0),1),((COLUMN()-COLUMN(gantt_Origin))-1)*IF(GanttPeriod&gt;=90,3,1)))</f>
        <v>46305</v>
      </c>
      <c r="HF5" s="82" t="n">
        <f aca="false">IF(GanttPeriod&lt;28,GanttStart+((COLUMN()-COLUMN(gantt_Origin))-1)*GanttPeriod,EDATE(DATE(YEAR(GanttStart),MONTH(GanttStart)-IF(GanttPeriod&gt;=90,MOD(MONTH(GanttStart)-1,3),0),1),((COLUMN()-COLUMN(gantt_Origin))-1)*IF(GanttPeriod&gt;=90,3,1)))</f>
        <v>46306</v>
      </c>
      <c r="HG5" s="82" t="n">
        <f aca="false">IF(GanttPeriod&lt;28,GanttStart+((COLUMN()-COLUMN(gantt_Origin))-1)*GanttPeriod,EDATE(DATE(YEAR(GanttStart),MONTH(GanttStart)-IF(GanttPeriod&gt;=90,MOD(MONTH(GanttStart)-1,3),0),1),((COLUMN()-COLUMN(gantt_Origin))-1)*IF(GanttPeriod&gt;=90,3,1)))</f>
        <v>46307</v>
      </c>
      <c r="HH5" s="82" t="n">
        <f aca="false">IF(GanttPeriod&lt;28,GanttStart+((COLUMN()-COLUMN(gantt_Origin))-1)*GanttPeriod,EDATE(DATE(YEAR(GanttStart),MONTH(GanttStart)-IF(GanttPeriod&gt;=90,MOD(MONTH(GanttStart)-1,3),0),1),((COLUMN()-COLUMN(gantt_Origin))-1)*IF(GanttPeriod&gt;=90,3,1)))</f>
        <v>46308</v>
      </c>
      <c r="HI5" s="82" t="n">
        <f aca="false">IF(GanttPeriod&lt;28,GanttStart+((COLUMN()-COLUMN(gantt_Origin))-1)*GanttPeriod,EDATE(DATE(YEAR(GanttStart),MONTH(GanttStart)-IF(GanttPeriod&gt;=90,MOD(MONTH(GanttStart)-1,3),0),1),((COLUMN()-COLUMN(gantt_Origin))-1)*IF(GanttPeriod&gt;=90,3,1)))</f>
        <v>46309</v>
      </c>
      <c r="HJ5" s="82" t="n">
        <f aca="false">IF(GanttPeriod&lt;28,GanttStart+((COLUMN()-COLUMN(gantt_Origin))-1)*GanttPeriod,EDATE(DATE(YEAR(GanttStart),MONTH(GanttStart)-IF(GanttPeriod&gt;=90,MOD(MONTH(GanttStart)-1,3),0),1),((COLUMN()-COLUMN(gantt_Origin))-1)*IF(GanttPeriod&gt;=90,3,1)))</f>
        <v>46310</v>
      </c>
      <c r="HK5" s="82" t="n">
        <f aca="false">IF(GanttPeriod&lt;28,GanttStart+((COLUMN()-COLUMN(gantt_Origin))-1)*GanttPeriod,EDATE(DATE(YEAR(GanttStart),MONTH(GanttStart)-IF(GanttPeriod&gt;=90,MOD(MONTH(GanttStart)-1,3),0),1),((COLUMN()-COLUMN(gantt_Origin))-1)*IF(GanttPeriod&gt;=90,3,1)))</f>
        <v>46311</v>
      </c>
      <c r="HL5" s="82" t="n">
        <f aca="false">IF(GanttPeriod&lt;28,GanttStart+((COLUMN()-COLUMN(gantt_Origin))-1)*GanttPeriod,EDATE(DATE(YEAR(GanttStart),MONTH(GanttStart)-IF(GanttPeriod&gt;=90,MOD(MONTH(GanttStart)-1,3),0),1),((COLUMN()-COLUMN(gantt_Origin))-1)*IF(GanttPeriod&gt;=90,3,1)))</f>
        <v>46312</v>
      </c>
      <c r="HM5" s="82" t="n">
        <f aca="false">IF(GanttPeriod&lt;28,GanttStart+((COLUMN()-COLUMN(gantt_Origin))-1)*GanttPeriod,EDATE(DATE(YEAR(GanttStart),MONTH(GanttStart)-IF(GanttPeriod&gt;=90,MOD(MONTH(GanttStart)-1,3),0),1),((COLUMN()-COLUMN(gantt_Origin))-1)*IF(GanttPeriod&gt;=90,3,1)))</f>
        <v>46313</v>
      </c>
      <c r="HN5" s="82" t="n">
        <f aca="false">IF(GanttPeriod&lt;28,GanttStart+((COLUMN()-COLUMN(gantt_Origin))-1)*GanttPeriod,EDATE(DATE(YEAR(GanttStart),MONTH(GanttStart)-IF(GanttPeriod&gt;=90,MOD(MONTH(GanttStart)-1,3),0),1),((COLUMN()-COLUMN(gantt_Origin))-1)*IF(GanttPeriod&gt;=90,3,1)))</f>
        <v>46314</v>
      </c>
      <c r="HO5" s="82" t="n">
        <f aca="false">IF(GanttPeriod&lt;28,GanttStart+((COLUMN()-COLUMN(gantt_Origin))-1)*GanttPeriod,EDATE(DATE(YEAR(GanttStart),MONTH(GanttStart)-IF(GanttPeriod&gt;=90,MOD(MONTH(GanttStart)-1,3),0),1),((COLUMN()-COLUMN(gantt_Origin))-1)*IF(GanttPeriod&gt;=90,3,1)))</f>
        <v>46315</v>
      </c>
      <c r="HP5" s="82" t="n">
        <f aca="false">IF(GanttPeriod&lt;28,GanttStart+((COLUMN()-COLUMN(gantt_Origin))-1)*GanttPeriod,EDATE(DATE(YEAR(GanttStart),MONTH(GanttStart)-IF(GanttPeriod&gt;=90,MOD(MONTH(GanttStart)-1,3),0),1),((COLUMN()-COLUMN(gantt_Origin))-1)*IF(GanttPeriod&gt;=90,3,1)))</f>
        <v>46316</v>
      </c>
      <c r="HQ5" s="82" t="n">
        <f aca="false">IF(GanttPeriod&lt;28,GanttStart+((COLUMN()-COLUMN(gantt_Origin))-1)*GanttPeriod,EDATE(DATE(YEAR(GanttStart),MONTH(GanttStart)-IF(GanttPeriod&gt;=90,MOD(MONTH(GanttStart)-1,3),0),1),((COLUMN()-COLUMN(gantt_Origin))-1)*IF(GanttPeriod&gt;=90,3,1)))</f>
        <v>46317</v>
      </c>
      <c r="HR5" s="82" t="n">
        <f aca="false">IF(GanttPeriod&lt;28,GanttStart+((COLUMN()-COLUMN(gantt_Origin))-1)*GanttPeriod,EDATE(DATE(YEAR(GanttStart),MONTH(GanttStart)-IF(GanttPeriod&gt;=90,MOD(MONTH(GanttStart)-1,3),0),1),((COLUMN()-COLUMN(gantt_Origin))-1)*IF(GanttPeriod&gt;=90,3,1)))</f>
        <v>46318</v>
      </c>
      <c r="HS5" s="82" t="n">
        <f aca="false">IF(GanttPeriod&lt;28,GanttStart+((COLUMN()-COLUMN(gantt_Origin))-1)*GanttPeriod,EDATE(DATE(YEAR(GanttStart),MONTH(GanttStart)-IF(GanttPeriod&gt;=90,MOD(MONTH(GanttStart)-1,3),0),1),((COLUMN()-COLUMN(gantt_Origin))-1)*IF(GanttPeriod&gt;=90,3,1)))</f>
        <v>46319</v>
      </c>
      <c r="HT5" s="82" t="n">
        <f aca="false">IF(GanttPeriod&lt;28,GanttStart+((COLUMN()-COLUMN(gantt_Origin))-1)*GanttPeriod,EDATE(DATE(YEAR(GanttStart),MONTH(GanttStart)-IF(GanttPeriod&gt;=90,MOD(MONTH(GanttStart)-1,3),0),1),((COLUMN()-COLUMN(gantt_Origin))-1)*IF(GanttPeriod&gt;=90,3,1)))</f>
        <v>46320</v>
      </c>
      <c r="HU5" s="82" t="n">
        <f aca="false">IF(GanttPeriod&lt;28,GanttStart+((COLUMN()-COLUMN(gantt_Origin))-1)*GanttPeriod,EDATE(DATE(YEAR(GanttStart),MONTH(GanttStart)-IF(GanttPeriod&gt;=90,MOD(MONTH(GanttStart)-1,3),0),1),((COLUMN()-COLUMN(gantt_Origin))-1)*IF(GanttPeriod&gt;=90,3,1)))</f>
        <v>46321</v>
      </c>
      <c r="HV5" s="82" t="n">
        <f aca="false">IF(GanttPeriod&lt;28,GanttStart+((COLUMN()-COLUMN(gantt_Origin))-1)*GanttPeriod,EDATE(DATE(YEAR(GanttStart),MONTH(GanttStart)-IF(GanttPeriod&gt;=90,MOD(MONTH(GanttStart)-1,3),0),1),((COLUMN()-COLUMN(gantt_Origin))-1)*IF(GanttPeriod&gt;=90,3,1)))</f>
        <v>46322</v>
      </c>
      <c r="HW5" s="82" t="n">
        <f aca="false">IF(GanttPeriod&lt;28,GanttStart+((COLUMN()-COLUMN(gantt_Origin))-1)*GanttPeriod,EDATE(DATE(YEAR(GanttStart),MONTH(GanttStart)-IF(GanttPeriod&gt;=90,MOD(MONTH(GanttStart)-1,3),0),1),((COLUMN()-COLUMN(gantt_Origin))-1)*IF(GanttPeriod&gt;=90,3,1)))</f>
        <v>46323</v>
      </c>
      <c r="HX5" s="82" t="n">
        <f aca="false">IF(GanttPeriod&lt;28,GanttStart+((COLUMN()-COLUMN(gantt_Origin))-1)*GanttPeriod,EDATE(DATE(YEAR(GanttStart),MONTH(GanttStart)-IF(GanttPeriod&gt;=90,MOD(MONTH(GanttStart)-1,3),0),1),((COLUMN()-COLUMN(gantt_Origin))-1)*IF(GanttPeriod&gt;=90,3,1)))</f>
        <v>46324</v>
      </c>
      <c r="HY5" s="82" t="n">
        <f aca="false">IF(GanttPeriod&lt;28,GanttStart+((COLUMN()-COLUMN(gantt_Origin))-1)*GanttPeriod,EDATE(DATE(YEAR(GanttStart),MONTH(GanttStart)-IF(GanttPeriod&gt;=90,MOD(MONTH(GanttStart)-1,3),0),1),((COLUMN()-COLUMN(gantt_Origin))-1)*IF(GanttPeriod&gt;=90,3,1)))</f>
        <v>46325</v>
      </c>
      <c r="HZ5" s="82" t="n">
        <f aca="false">IF(GanttPeriod&lt;28,GanttStart+((COLUMN()-COLUMN(gantt_Origin))-1)*GanttPeriod,EDATE(DATE(YEAR(GanttStart),MONTH(GanttStart)-IF(GanttPeriod&gt;=90,MOD(MONTH(GanttStart)-1,3),0),1),((COLUMN()-COLUMN(gantt_Origin))-1)*IF(GanttPeriod&gt;=90,3,1)))</f>
        <v>46326</v>
      </c>
      <c r="IA5" s="82" t="n">
        <f aca="false">IF(GanttPeriod&lt;28,GanttStart+((COLUMN()-COLUMN(gantt_Origin))-1)*GanttPeriod,EDATE(DATE(YEAR(GanttStart),MONTH(GanttStart)-IF(GanttPeriod&gt;=90,MOD(MONTH(GanttStart)-1,3),0),1),((COLUMN()-COLUMN(gantt_Origin))-1)*IF(GanttPeriod&gt;=90,3,1)))</f>
        <v>46327</v>
      </c>
      <c r="IB5" s="82" t="n">
        <f aca="false">IF(GanttPeriod&lt;28,GanttStart+((COLUMN()-COLUMN(gantt_Origin))-1)*GanttPeriod,EDATE(DATE(YEAR(GanttStart),MONTH(GanttStart)-IF(GanttPeriod&gt;=90,MOD(MONTH(GanttStart)-1,3),0),1),((COLUMN()-COLUMN(gantt_Origin))-1)*IF(GanttPeriod&gt;=90,3,1)))</f>
        <v>46328</v>
      </c>
      <c r="IC5" s="82" t="n">
        <f aca="false">IF(GanttPeriod&lt;28,GanttStart+((COLUMN()-COLUMN(gantt_Origin))-1)*GanttPeriod,EDATE(DATE(YEAR(GanttStart),MONTH(GanttStart)-IF(GanttPeriod&gt;=90,MOD(MONTH(GanttStart)-1,3),0),1),((COLUMN()-COLUMN(gantt_Origin))-1)*IF(GanttPeriod&gt;=90,3,1)))</f>
        <v>46329</v>
      </c>
      <c r="ID5" s="82" t="n">
        <f aca="false">IF(GanttPeriod&lt;28,GanttStart+((COLUMN()-COLUMN(gantt_Origin))-1)*GanttPeriod,EDATE(DATE(YEAR(GanttStart),MONTH(GanttStart)-IF(GanttPeriod&gt;=90,MOD(MONTH(GanttStart)-1,3),0),1),((COLUMN()-COLUMN(gantt_Origin))-1)*IF(GanttPeriod&gt;=90,3,1)))</f>
        <v>46330</v>
      </c>
      <c r="IE5" s="82" t="n">
        <f aca="false">IF(GanttPeriod&lt;28,GanttStart+((COLUMN()-COLUMN(gantt_Origin))-1)*GanttPeriod,EDATE(DATE(YEAR(GanttStart),MONTH(GanttStart)-IF(GanttPeriod&gt;=90,MOD(MONTH(GanttStart)-1,3),0),1),((COLUMN()-COLUMN(gantt_Origin))-1)*IF(GanttPeriod&gt;=90,3,1)))</f>
        <v>46331</v>
      </c>
      <c r="IF5" s="82" t="n">
        <f aca="false">IF(GanttPeriod&lt;28,GanttStart+((COLUMN()-COLUMN(gantt_Origin))-1)*GanttPeriod,EDATE(DATE(YEAR(GanttStart),MONTH(GanttStart)-IF(GanttPeriod&gt;=90,MOD(MONTH(GanttStart)-1,3),0),1),((COLUMN()-COLUMN(gantt_Origin))-1)*IF(GanttPeriod&gt;=90,3,1)))</f>
        <v>46332</v>
      </c>
      <c r="IG5" s="82" t="n">
        <f aca="false">IF(GanttPeriod&lt;28,GanttStart+((COLUMN()-COLUMN(gantt_Origin))-1)*GanttPeriod,EDATE(DATE(YEAR(GanttStart),MONTH(GanttStart)-IF(GanttPeriod&gt;=90,MOD(MONTH(GanttStart)-1,3),0),1),((COLUMN()-COLUMN(gantt_Origin))-1)*IF(GanttPeriod&gt;=90,3,1)))</f>
        <v>46333</v>
      </c>
      <c r="IH5" s="82" t="n">
        <f aca="false">IF(GanttPeriod&lt;28,GanttStart+((COLUMN()-COLUMN(gantt_Origin))-1)*GanttPeriod,EDATE(DATE(YEAR(GanttStart),MONTH(GanttStart)-IF(GanttPeriod&gt;=90,MOD(MONTH(GanttStart)-1,3),0),1),((COLUMN()-COLUMN(gantt_Origin))-1)*IF(GanttPeriod&gt;=90,3,1)))</f>
        <v>46334</v>
      </c>
      <c r="II5" s="82" t="n">
        <f aca="false">IF(GanttPeriod&lt;28,GanttStart+((COLUMN()-COLUMN(gantt_Origin))-1)*GanttPeriod,EDATE(DATE(YEAR(GanttStart),MONTH(GanttStart)-IF(GanttPeriod&gt;=90,MOD(MONTH(GanttStart)-1,3),0),1),((COLUMN()-COLUMN(gantt_Origin))-1)*IF(GanttPeriod&gt;=90,3,1)))</f>
        <v>46335</v>
      </c>
      <c r="IJ5" s="82" t="n">
        <f aca="false">IF(GanttPeriod&lt;28,GanttStart+((COLUMN()-COLUMN(gantt_Origin))-1)*GanttPeriod,EDATE(DATE(YEAR(GanttStart),MONTH(GanttStart)-IF(GanttPeriod&gt;=90,MOD(MONTH(GanttStart)-1,3),0),1),((COLUMN()-COLUMN(gantt_Origin))-1)*IF(GanttPeriod&gt;=90,3,1)))</f>
        <v>46336</v>
      </c>
      <c r="IK5" s="82" t="n">
        <f aca="false">IF(GanttPeriod&lt;28,GanttStart+((COLUMN()-COLUMN(gantt_Origin))-1)*GanttPeriod,EDATE(DATE(YEAR(GanttStart),MONTH(GanttStart)-IF(GanttPeriod&gt;=90,MOD(MONTH(GanttStart)-1,3),0),1),((COLUMN()-COLUMN(gantt_Origin))-1)*IF(GanttPeriod&gt;=90,3,1)))</f>
        <v>46337</v>
      </c>
      <c r="IL5" s="82" t="n">
        <f aca="false">IF(GanttPeriod&lt;28,GanttStart+((COLUMN()-COLUMN(gantt_Origin))-1)*GanttPeriod,EDATE(DATE(YEAR(GanttStart),MONTH(GanttStart)-IF(GanttPeriod&gt;=90,MOD(MONTH(GanttStart)-1,3),0),1),((COLUMN()-COLUMN(gantt_Origin))-1)*IF(GanttPeriod&gt;=90,3,1)))</f>
        <v>46338</v>
      </c>
      <c r="IM5" s="82" t="n">
        <f aca="false">IF(GanttPeriod&lt;28,GanttStart+((COLUMN()-COLUMN(gantt_Origin))-1)*GanttPeriod,EDATE(DATE(YEAR(GanttStart),MONTH(GanttStart)-IF(GanttPeriod&gt;=90,MOD(MONTH(GanttStart)-1,3),0),1),((COLUMN()-COLUMN(gantt_Origin))-1)*IF(GanttPeriod&gt;=90,3,1)))</f>
        <v>46339</v>
      </c>
      <c r="IN5" s="82" t="n">
        <f aca="false">IF(GanttPeriod&lt;28,GanttStart+((COLUMN()-COLUMN(gantt_Origin))-1)*GanttPeriod,EDATE(DATE(YEAR(GanttStart),MONTH(GanttStart)-IF(GanttPeriod&gt;=90,MOD(MONTH(GanttStart)-1,3),0),1),((COLUMN()-COLUMN(gantt_Origin))-1)*IF(GanttPeriod&gt;=90,3,1)))</f>
        <v>46340</v>
      </c>
      <c r="IO5" s="82" t="n">
        <f aca="false">IF(GanttPeriod&lt;28,GanttStart+((COLUMN()-COLUMN(gantt_Origin))-1)*GanttPeriod,EDATE(DATE(YEAR(GanttStart),MONTH(GanttStart)-IF(GanttPeriod&gt;=90,MOD(MONTH(GanttStart)-1,3),0),1),((COLUMN()-COLUMN(gantt_Origin))-1)*IF(GanttPeriod&gt;=90,3,1)))</f>
        <v>46341</v>
      </c>
      <c r="IP5" s="82" t="n">
        <f aca="false">IF(GanttPeriod&lt;28,GanttStart+((COLUMN()-COLUMN(gantt_Origin))-1)*GanttPeriod,EDATE(DATE(YEAR(GanttStart),MONTH(GanttStart)-IF(GanttPeriod&gt;=90,MOD(MONTH(GanttStart)-1,3),0),1),((COLUMN()-COLUMN(gantt_Origin))-1)*IF(GanttPeriod&gt;=90,3,1)))</f>
        <v>46342</v>
      </c>
      <c r="IQ5" s="82" t="n">
        <f aca="false">IF(GanttPeriod&lt;28,GanttStart+((COLUMN()-COLUMN(gantt_Origin))-1)*GanttPeriod,EDATE(DATE(YEAR(GanttStart),MONTH(GanttStart)-IF(GanttPeriod&gt;=90,MOD(MONTH(GanttStart)-1,3),0),1),((COLUMN()-COLUMN(gantt_Origin))-1)*IF(GanttPeriod&gt;=90,3,1)))</f>
        <v>46343</v>
      </c>
      <c r="IR5" s="82" t="n">
        <f aca="false">IF(GanttPeriod&lt;28,GanttStart+((COLUMN()-COLUMN(gantt_Origin))-1)*GanttPeriod,EDATE(DATE(YEAR(GanttStart),MONTH(GanttStart)-IF(GanttPeriod&gt;=90,MOD(MONTH(GanttStart)-1,3),0),1),((COLUMN()-COLUMN(gantt_Origin))-1)*IF(GanttPeriod&gt;=90,3,1)))</f>
        <v>46344</v>
      </c>
      <c r="IS5" s="82" t="n">
        <f aca="false">IF(GanttPeriod&lt;28,GanttStart+((COLUMN()-COLUMN(gantt_Origin))-1)*GanttPeriod,EDATE(DATE(YEAR(GanttStart),MONTH(GanttStart)-IF(GanttPeriod&gt;=90,MOD(MONTH(GanttStart)-1,3),0),1),((COLUMN()-COLUMN(gantt_Origin))-1)*IF(GanttPeriod&gt;=90,3,1)))</f>
        <v>46345</v>
      </c>
      <c r="IT5" s="82" t="n">
        <f aca="false">IF(GanttPeriod&lt;28,GanttStart+((COLUMN()-COLUMN(gantt_Origin))-1)*GanttPeriod,EDATE(DATE(YEAR(GanttStart),MONTH(GanttStart)-IF(GanttPeriod&gt;=90,MOD(MONTH(GanttStart)-1,3),0),1),((COLUMN()-COLUMN(gantt_Origin))-1)*IF(GanttPeriod&gt;=90,3,1)))</f>
        <v>46346</v>
      </c>
      <c r="IU5" s="82" t="n">
        <f aca="false">IF(GanttPeriod&lt;28,GanttStart+((COLUMN()-COLUMN(gantt_Origin))-1)*GanttPeriod,EDATE(DATE(YEAR(GanttStart),MONTH(GanttStart)-IF(GanttPeriod&gt;=90,MOD(MONTH(GanttStart)-1,3),0),1),((COLUMN()-COLUMN(gantt_Origin))-1)*IF(GanttPeriod&gt;=90,3,1)))</f>
        <v>46347</v>
      </c>
      <c r="IV5" s="82" t="n">
        <f aca="false">IF(GanttPeriod&lt;28,GanttStart+((COLUMN()-COLUMN(gantt_Origin))-1)*GanttPeriod,EDATE(DATE(YEAR(GanttStart),MONTH(GanttStart)-IF(GanttPeriod&gt;=90,MOD(MONTH(GanttStart)-1,3),0),1),((COLUMN()-COLUMN(gantt_Origin))-1)*IF(GanttPeriod&gt;=90,3,1)))</f>
        <v>46348</v>
      </c>
      <c r="IW5" s="82" t="n">
        <f aca="false">IF(GanttPeriod&lt;28,GanttStart+((COLUMN()-COLUMN(gantt_Origin))-1)*GanttPeriod,EDATE(DATE(YEAR(GanttStart),MONTH(GanttStart)-IF(GanttPeriod&gt;=90,MOD(MONTH(GanttStart)-1,3),0),1),((COLUMN()-COLUMN(gantt_Origin))-1)*IF(GanttPeriod&gt;=90,3,1)))</f>
        <v>46349</v>
      </c>
      <c r="IX5" s="82" t="n">
        <f aca="false">IF(GanttPeriod&lt;28,GanttStart+((COLUMN()-COLUMN(gantt_Origin))-1)*GanttPeriod,EDATE(DATE(YEAR(GanttStart),MONTH(GanttStart)-IF(GanttPeriod&gt;=90,MOD(MONTH(GanttStart)-1,3),0),1),((COLUMN()-COLUMN(gantt_Origin))-1)*IF(GanttPeriod&gt;=90,3,1)))</f>
        <v>46350</v>
      </c>
      <c r="IY5" s="82" t="n">
        <f aca="false">IF(GanttPeriod&lt;28,GanttStart+((COLUMN()-COLUMN(gantt_Origin))-1)*GanttPeriod,EDATE(DATE(YEAR(GanttStart),MONTH(GanttStart)-IF(GanttPeriod&gt;=90,MOD(MONTH(GanttStart)-1,3),0),1),((COLUMN()-COLUMN(gantt_Origin))-1)*IF(GanttPeriod&gt;=90,3,1)))</f>
        <v>46351</v>
      </c>
      <c r="IZ5" s="82" t="n">
        <f aca="false">IF(GanttPeriod&lt;28,GanttStart+((COLUMN()-COLUMN(gantt_Origin))-1)*GanttPeriod,EDATE(DATE(YEAR(GanttStart),MONTH(GanttStart)-IF(GanttPeriod&gt;=90,MOD(MONTH(GanttStart)-1,3),0),1),((COLUMN()-COLUMN(gantt_Origin))-1)*IF(GanttPeriod&gt;=90,3,1)))</f>
        <v>46352</v>
      </c>
      <c r="JA5" s="82" t="n">
        <f aca="false">IF(GanttPeriod&lt;28,GanttStart+((COLUMN()-COLUMN(gantt_Origin))-1)*GanttPeriod,EDATE(DATE(YEAR(GanttStart),MONTH(GanttStart)-IF(GanttPeriod&gt;=90,MOD(MONTH(GanttStart)-1,3),0),1),((COLUMN()-COLUMN(gantt_Origin))-1)*IF(GanttPeriod&gt;=90,3,1)))</f>
        <v>46353</v>
      </c>
      <c r="JB5" s="82" t="n">
        <f aca="false">IF(GanttPeriod&lt;28,GanttStart+((COLUMN()-COLUMN(gantt_Origin))-1)*GanttPeriod,EDATE(DATE(YEAR(GanttStart),MONTH(GanttStart)-IF(GanttPeriod&gt;=90,MOD(MONTH(GanttStart)-1,3),0),1),((COLUMN()-COLUMN(gantt_Origin))-1)*IF(GanttPeriod&gt;=90,3,1)))</f>
        <v>46354</v>
      </c>
      <c r="JC5" s="82" t="n">
        <f aca="false">IF(GanttPeriod&lt;28,GanttStart+((COLUMN()-COLUMN(gantt_Origin))-1)*GanttPeriod,EDATE(DATE(YEAR(GanttStart),MONTH(GanttStart)-IF(GanttPeriod&gt;=90,MOD(MONTH(GanttStart)-1,3),0),1),((COLUMN()-COLUMN(gantt_Origin))-1)*IF(GanttPeriod&gt;=90,3,1)))</f>
        <v>46355</v>
      </c>
      <c r="JD5" s="82" t="n">
        <f aca="false">IF(GanttPeriod&lt;28,GanttStart+((COLUMN()-COLUMN(gantt_Origin))-1)*GanttPeriod,EDATE(DATE(YEAR(GanttStart),MONTH(GanttStart)-IF(GanttPeriod&gt;=90,MOD(MONTH(GanttStart)-1,3),0),1),((COLUMN()-COLUMN(gantt_Origin))-1)*IF(GanttPeriod&gt;=90,3,1)))</f>
        <v>46356</v>
      </c>
      <c r="JE5" s="82" t="n">
        <f aca="false">IF(GanttPeriod&lt;28,GanttStart+((COLUMN()-COLUMN(gantt_Origin))-1)*GanttPeriod,EDATE(DATE(YEAR(GanttStart),MONTH(GanttStart)-IF(GanttPeriod&gt;=90,MOD(MONTH(GanttStart)-1,3),0),1),((COLUMN()-COLUMN(gantt_Origin))-1)*IF(GanttPeriod&gt;=90,3,1)))</f>
        <v>46357</v>
      </c>
      <c r="JF5" s="82" t="n">
        <f aca="false">IF(GanttPeriod&lt;28,GanttStart+((COLUMN()-COLUMN(gantt_Origin))-1)*GanttPeriod,EDATE(DATE(YEAR(GanttStart),MONTH(GanttStart)-IF(GanttPeriod&gt;=90,MOD(MONTH(GanttStart)-1,3),0),1),((COLUMN()-COLUMN(gantt_Origin))-1)*IF(GanttPeriod&gt;=90,3,1)))</f>
        <v>46358</v>
      </c>
      <c r="JG5" s="82" t="n">
        <f aca="false">IF(GanttPeriod&lt;28,GanttStart+((COLUMN()-COLUMN(gantt_Origin))-1)*GanttPeriod,EDATE(DATE(YEAR(GanttStart),MONTH(GanttStart)-IF(GanttPeriod&gt;=90,MOD(MONTH(GanttStart)-1,3),0),1),((COLUMN()-COLUMN(gantt_Origin))-1)*IF(GanttPeriod&gt;=90,3,1)))</f>
        <v>46359</v>
      </c>
      <c r="JH5" s="82" t="n">
        <f aca="false">IF(GanttPeriod&lt;28,GanttStart+((COLUMN()-COLUMN(gantt_Origin))-1)*GanttPeriod,EDATE(DATE(YEAR(GanttStart),MONTH(GanttStart)-IF(GanttPeriod&gt;=90,MOD(MONTH(GanttStart)-1,3),0),1),((COLUMN()-COLUMN(gantt_Origin))-1)*IF(GanttPeriod&gt;=90,3,1)))</f>
        <v>46360</v>
      </c>
      <c r="JI5" s="82" t="n">
        <f aca="false">IF(GanttPeriod&lt;28,GanttStart+((COLUMN()-COLUMN(gantt_Origin))-1)*GanttPeriod,EDATE(DATE(YEAR(GanttStart),MONTH(GanttStart)-IF(GanttPeriod&gt;=90,MOD(MONTH(GanttStart)-1,3),0),1),((COLUMN()-COLUMN(gantt_Origin))-1)*IF(GanttPeriod&gt;=90,3,1)))</f>
        <v>46361</v>
      </c>
      <c r="JJ5" s="82" t="n">
        <f aca="false">IF(GanttPeriod&lt;28,GanttStart+((COLUMN()-COLUMN(gantt_Origin))-1)*GanttPeriod,EDATE(DATE(YEAR(GanttStart),MONTH(GanttStart)-IF(GanttPeriod&gt;=90,MOD(MONTH(GanttStart)-1,3),0),1),((COLUMN()-COLUMN(gantt_Origin))-1)*IF(GanttPeriod&gt;=90,3,1)))</f>
        <v>46362</v>
      </c>
      <c r="JK5" s="82" t="n">
        <f aca="false">IF(GanttPeriod&lt;28,GanttStart+((COLUMN()-COLUMN(gantt_Origin))-1)*GanttPeriod,EDATE(DATE(YEAR(GanttStart),MONTH(GanttStart)-IF(GanttPeriod&gt;=90,MOD(MONTH(GanttStart)-1,3),0),1),((COLUMN()-COLUMN(gantt_Origin))-1)*IF(GanttPeriod&gt;=90,3,1)))</f>
        <v>46363</v>
      </c>
      <c r="JL5" s="82" t="n">
        <f aca="false">IF(GanttPeriod&lt;28,GanttStart+((COLUMN()-COLUMN(gantt_Origin))-1)*GanttPeriod,EDATE(DATE(YEAR(GanttStart),MONTH(GanttStart)-IF(GanttPeriod&gt;=90,MOD(MONTH(GanttStart)-1,3),0),1),((COLUMN()-COLUMN(gantt_Origin))-1)*IF(GanttPeriod&gt;=90,3,1)))</f>
        <v>46364</v>
      </c>
      <c r="JM5" s="82" t="n">
        <f aca="false">IF(GanttPeriod&lt;28,GanttStart+((COLUMN()-COLUMN(gantt_Origin))-1)*GanttPeriod,EDATE(DATE(YEAR(GanttStart),MONTH(GanttStart)-IF(GanttPeriod&gt;=90,MOD(MONTH(GanttStart)-1,3),0),1),((COLUMN()-COLUMN(gantt_Origin))-1)*IF(GanttPeriod&gt;=90,3,1)))</f>
        <v>46365</v>
      </c>
      <c r="JN5" s="82" t="n">
        <f aca="false">IF(GanttPeriod&lt;28,GanttStart+((COLUMN()-COLUMN(gantt_Origin))-1)*GanttPeriod,EDATE(DATE(YEAR(GanttStart),MONTH(GanttStart)-IF(GanttPeriod&gt;=90,MOD(MONTH(GanttStart)-1,3),0),1),((COLUMN()-COLUMN(gantt_Origin))-1)*IF(GanttPeriod&gt;=90,3,1)))</f>
        <v>46366</v>
      </c>
      <c r="JO5" s="82" t="n">
        <f aca="false">IF(GanttPeriod&lt;28,GanttStart+((COLUMN()-COLUMN(gantt_Origin))-1)*GanttPeriod,EDATE(DATE(YEAR(GanttStart),MONTH(GanttStart)-IF(GanttPeriod&gt;=90,MOD(MONTH(GanttStart)-1,3),0),1),((COLUMN()-COLUMN(gantt_Origin))-1)*IF(GanttPeriod&gt;=90,3,1)))</f>
        <v>46367</v>
      </c>
      <c r="JP5" s="82" t="n">
        <f aca="false">IF(GanttPeriod&lt;28,GanttStart+((COLUMN()-COLUMN(gantt_Origin))-1)*GanttPeriod,EDATE(DATE(YEAR(GanttStart),MONTH(GanttStart)-IF(GanttPeriod&gt;=90,MOD(MONTH(GanttStart)-1,3),0),1),((COLUMN()-COLUMN(gantt_Origin))-1)*IF(GanttPeriod&gt;=90,3,1)))</f>
        <v>46368</v>
      </c>
      <c r="JQ5" s="82" t="n">
        <f aca="false">IF(GanttPeriod&lt;28,GanttStart+((COLUMN()-COLUMN(gantt_Origin))-1)*GanttPeriod,EDATE(DATE(YEAR(GanttStart),MONTH(GanttStart)-IF(GanttPeriod&gt;=90,MOD(MONTH(GanttStart)-1,3),0),1),((COLUMN()-COLUMN(gantt_Origin))-1)*IF(GanttPeriod&gt;=90,3,1)))</f>
        <v>46369</v>
      </c>
      <c r="JR5" s="82" t="n">
        <f aca="false">IF(GanttPeriod&lt;28,GanttStart+((COLUMN()-COLUMN(gantt_Origin))-1)*GanttPeriod,EDATE(DATE(YEAR(GanttStart),MONTH(GanttStart)-IF(GanttPeriod&gt;=90,MOD(MONTH(GanttStart)-1,3),0),1),((COLUMN()-COLUMN(gantt_Origin))-1)*IF(GanttPeriod&gt;=90,3,1)))</f>
        <v>46370</v>
      </c>
      <c r="JS5" s="82" t="n">
        <f aca="false">IF(GanttPeriod&lt;28,GanttStart+((COLUMN()-COLUMN(gantt_Origin))-1)*GanttPeriod,EDATE(DATE(YEAR(GanttStart),MONTH(GanttStart)-IF(GanttPeriod&gt;=90,MOD(MONTH(GanttStart)-1,3),0),1),((COLUMN()-COLUMN(gantt_Origin))-1)*IF(GanttPeriod&gt;=90,3,1)))</f>
        <v>46371</v>
      </c>
      <c r="JT5" s="82" t="n">
        <f aca="false">IF(GanttPeriod&lt;28,GanttStart+((COLUMN()-COLUMN(gantt_Origin))-1)*GanttPeriod,EDATE(DATE(YEAR(GanttStart),MONTH(GanttStart)-IF(GanttPeriod&gt;=90,MOD(MONTH(GanttStart)-1,3),0),1),((COLUMN()-COLUMN(gantt_Origin))-1)*IF(GanttPeriod&gt;=90,3,1)))</f>
        <v>46372</v>
      </c>
      <c r="JU5" s="82" t="n">
        <f aca="false">IF(GanttPeriod&lt;28,GanttStart+((COLUMN()-COLUMN(gantt_Origin))-1)*GanttPeriod,EDATE(DATE(YEAR(GanttStart),MONTH(GanttStart)-IF(GanttPeriod&gt;=90,MOD(MONTH(GanttStart)-1,3),0),1),((COLUMN()-COLUMN(gantt_Origin))-1)*IF(GanttPeriod&gt;=90,3,1)))</f>
        <v>46373</v>
      </c>
      <c r="JV5" s="82" t="n">
        <f aca="false">IF(GanttPeriod&lt;28,GanttStart+((COLUMN()-COLUMN(gantt_Origin))-1)*GanttPeriod,EDATE(DATE(YEAR(GanttStart),MONTH(GanttStart)-IF(GanttPeriod&gt;=90,MOD(MONTH(GanttStart)-1,3),0),1),((COLUMN()-COLUMN(gantt_Origin))-1)*IF(GanttPeriod&gt;=90,3,1)))</f>
        <v>46374</v>
      </c>
      <c r="JW5" s="82" t="n">
        <f aca="false">IF(GanttPeriod&lt;28,GanttStart+((COLUMN()-COLUMN(gantt_Origin))-1)*GanttPeriod,EDATE(DATE(YEAR(GanttStart),MONTH(GanttStart)-IF(GanttPeriod&gt;=90,MOD(MONTH(GanttStart)-1,3),0),1),((COLUMN()-COLUMN(gantt_Origin))-1)*IF(GanttPeriod&gt;=90,3,1)))</f>
        <v>46375</v>
      </c>
      <c r="JX5" s="82" t="n">
        <f aca="false">IF(GanttPeriod&lt;28,GanttStart+((COLUMN()-COLUMN(gantt_Origin))-1)*GanttPeriod,EDATE(DATE(YEAR(GanttStart),MONTH(GanttStart)-IF(GanttPeriod&gt;=90,MOD(MONTH(GanttStart)-1,3),0),1),((COLUMN()-COLUMN(gantt_Origin))-1)*IF(GanttPeriod&gt;=90,3,1)))</f>
        <v>46376</v>
      </c>
      <c r="JY5" s="82" t="n">
        <f aca="false">IF(GanttPeriod&lt;28,GanttStart+((COLUMN()-COLUMN(gantt_Origin))-1)*GanttPeriod,EDATE(DATE(YEAR(GanttStart),MONTH(GanttStart)-IF(GanttPeriod&gt;=90,MOD(MONTH(GanttStart)-1,3),0),1),((COLUMN()-COLUMN(gantt_Origin))-1)*IF(GanttPeriod&gt;=90,3,1)))</f>
        <v>46377</v>
      </c>
      <c r="JZ5" s="82" t="n">
        <f aca="false">IF(GanttPeriod&lt;28,GanttStart+((COLUMN()-COLUMN(gantt_Origin))-1)*GanttPeriod,EDATE(DATE(YEAR(GanttStart),MONTH(GanttStart)-IF(GanttPeriod&gt;=90,MOD(MONTH(GanttStart)-1,3),0),1),((COLUMN()-COLUMN(gantt_Origin))-1)*IF(GanttPeriod&gt;=90,3,1)))</f>
        <v>46378</v>
      </c>
      <c r="KA5" s="82" t="n">
        <f aca="false">IF(GanttPeriod&lt;28,GanttStart+((COLUMN()-COLUMN(gantt_Origin))-1)*GanttPeriod,EDATE(DATE(YEAR(GanttStart),MONTH(GanttStart)-IF(GanttPeriod&gt;=90,MOD(MONTH(GanttStart)-1,3),0),1),((COLUMN()-COLUMN(gantt_Origin))-1)*IF(GanttPeriod&gt;=90,3,1)))</f>
        <v>46379</v>
      </c>
      <c r="KB5" s="82" t="n">
        <f aca="false">IF(GanttPeriod&lt;28,GanttStart+((COLUMN()-COLUMN(gantt_Origin))-1)*GanttPeriod,EDATE(DATE(YEAR(GanttStart),MONTH(GanttStart)-IF(GanttPeriod&gt;=90,MOD(MONTH(GanttStart)-1,3),0),1),((COLUMN()-COLUMN(gantt_Origin))-1)*IF(GanttPeriod&gt;=90,3,1)))</f>
        <v>46380</v>
      </c>
      <c r="KC5" s="82" t="n">
        <f aca="false">IF(GanttPeriod&lt;28,GanttStart+((COLUMN()-COLUMN(gantt_Origin))-1)*GanttPeriod,EDATE(DATE(YEAR(GanttStart),MONTH(GanttStart)-IF(GanttPeriod&gt;=90,MOD(MONTH(GanttStart)-1,3),0),1),((COLUMN()-COLUMN(gantt_Origin))-1)*IF(GanttPeriod&gt;=90,3,1)))</f>
        <v>46381</v>
      </c>
      <c r="KD5" s="82" t="n">
        <f aca="false">IF(GanttPeriod&lt;28,GanttStart+((COLUMN()-COLUMN(gantt_Origin))-1)*GanttPeriod,EDATE(DATE(YEAR(GanttStart),MONTH(GanttStart)-IF(GanttPeriod&gt;=90,MOD(MONTH(GanttStart)-1,3),0),1),((COLUMN()-COLUMN(gantt_Origin))-1)*IF(GanttPeriod&gt;=90,3,1)))</f>
        <v>46382</v>
      </c>
      <c r="KE5" s="82" t="n">
        <f aca="false">IF(GanttPeriod&lt;28,GanttStart+((COLUMN()-COLUMN(gantt_Origin))-1)*GanttPeriod,EDATE(DATE(YEAR(GanttStart),MONTH(GanttStart)-IF(GanttPeriod&gt;=90,MOD(MONTH(GanttStart)-1,3),0),1),((COLUMN()-COLUMN(gantt_Origin))-1)*IF(GanttPeriod&gt;=90,3,1)))</f>
        <v>46383</v>
      </c>
      <c r="KF5" s="82" t="n">
        <f aca="false">IF(GanttPeriod&lt;28,GanttStart+((COLUMN()-COLUMN(gantt_Origin))-1)*GanttPeriod,EDATE(DATE(YEAR(GanttStart),MONTH(GanttStart)-IF(GanttPeriod&gt;=90,MOD(MONTH(GanttStart)-1,3),0),1),((COLUMN()-COLUMN(gantt_Origin))-1)*IF(GanttPeriod&gt;=90,3,1)))</f>
        <v>46384</v>
      </c>
      <c r="KG5" s="82" t="n">
        <f aca="false">IF(GanttPeriod&lt;28,GanttStart+((COLUMN()-COLUMN(gantt_Origin))-1)*GanttPeriod,EDATE(DATE(YEAR(GanttStart),MONTH(GanttStart)-IF(GanttPeriod&gt;=90,MOD(MONTH(GanttStart)-1,3),0),1),((COLUMN()-COLUMN(gantt_Origin))-1)*IF(GanttPeriod&gt;=90,3,1)))</f>
        <v>46385</v>
      </c>
      <c r="KH5" s="82" t="n">
        <f aca="false">IF(GanttPeriod&lt;28,GanttStart+((COLUMN()-COLUMN(gantt_Origin))-1)*GanttPeriod,EDATE(DATE(YEAR(GanttStart),MONTH(GanttStart)-IF(GanttPeriod&gt;=90,MOD(MONTH(GanttStart)-1,3),0),1),((COLUMN()-COLUMN(gantt_Origin))-1)*IF(GanttPeriod&gt;=90,3,1)))</f>
        <v>46386</v>
      </c>
      <c r="KI5" s="82" t="n">
        <f aca="false">IF(GanttPeriod&lt;28,GanttStart+((COLUMN()-COLUMN(gantt_Origin))-1)*GanttPeriod,EDATE(DATE(YEAR(GanttStart),MONTH(GanttStart)-IF(GanttPeriod&gt;=90,MOD(MONTH(GanttStart)-1,3),0),1),((COLUMN()-COLUMN(gantt_Origin))-1)*IF(GanttPeriod&gt;=90,3,1)))</f>
        <v>46387</v>
      </c>
      <c r="KJ5" s="82" t="n">
        <f aca="false">IF(GanttPeriod&lt;28,GanttStart+((COLUMN()-COLUMN(gantt_Origin))-1)*GanttPeriod,EDATE(DATE(YEAR(GanttStart),MONTH(GanttStart)-IF(GanttPeriod&gt;=90,MOD(MONTH(GanttStart)-1,3),0),1),((COLUMN()-COLUMN(gantt_Origin))-1)*IF(GanttPeriod&gt;=90,3,1)))</f>
        <v>46388</v>
      </c>
      <c r="KK5" s="82" t="n">
        <f aca="false">IF(GanttPeriod&lt;28,GanttStart+((COLUMN()-COLUMN(gantt_Origin))-1)*GanttPeriod,EDATE(DATE(YEAR(GanttStart),MONTH(GanttStart)-IF(GanttPeriod&gt;=90,MOD(MONTH(GanttStart)-1,3),0),1),((COLUMN()-COLUMN(gantt_Origin))-1)*IF(GanttPeriod&gt;=90,3,1)))</f>
        <v>46389</v>
      </c>
      <c r="KL5" s="82" t="n">
        <f aca="false">IF(GanttPeriod&lt;28,GanttStart+((COLUMN()-COLUMN(gantt_Origin))-1)*GanttPeriod,EDATE(DATE(YEAR(GanttStart),MONTH(GanttStart)-IF(GanttPeriod&gt;=90,MOD(MONTH(GanttStart)-1,3),0),1),((COLUMN()-COLUMN(gantt_Origin))-1)*IF(GanttPeriod&gt;=90,3,1)))</f>
        <v>46390</v>
      </c>
      <c r="KM5" s="82" t="n">
        <f aca="false">IF(GanttPeriod&lt;28,GanttStart+((COLUMN()-COLUMN(gantt_Origin))-1)*GanttPeriod,EDATE(DATE(YEAR(GanttStart),MONTH(GanttStart)-IF(GanttPeriod&gt;=90,MOD(MONTH(GanttStart)-1,3),0),1),((COLUMN()-COLUMN(gantt_Origin))-1)*IF(GanttPeriod&gt;=90,3,1)))</f>
        <v>46391</v>
      </c>
      <c r="KN5" s="82" t="n">
        <f aca="false">IF(GanttPeriod&lt;28,GanttStart+((COLUMN()-COLUMN(gantt_Origin))-1)*GanttPeriod,EDATE(DATE(YEAR(GanttStart),MONTH(GanttStart)-IF(GanttPeriod&gt;=90,MOD(MONTH(GanttStart)-1,3),0),1),((COLUMN()-COLUMN(gantt_Origin))-1)*IF(GanttPeriod&gt;=90,3,1)))</f>
        <v>46392</v>
      </c>
      <c r="KO5" s="82" t="n">
        <f aca="false">IF(GanttPeriod&lt;28,GanttStart+((COLUMN()-COLUMN(gantt_Origin))-1)*GanttPeriod,EDATE(DATE(YEAR(GanttStart),MONTH(GanttStart)-IF(GanttPeriod&gt;=90,MOD(MONTH(GanttStart)-1,3),0),1),((COLUMN()-COLUMN(gantt_Origin))-1)*IF(GanttPeriod&gt;=90,3,1)))</f>
        <v>46393</v>
      </c>
      <c r="KP5" s="82" t="n">
        <f aca="false">IF(GanttPeriod&lt;28,GanttStart+((COLUMN()-COLUMN(gantt_Origin))-1)*GanttPeriod,EDATE(DATE(YEAR(GanttStart),MONTH(GanttStart)-IF(GanttPeriod&gt;=90,MOD(MONTH(GanttStart)-1,3),0),1),((COLUMN()-COLUMN(gantt_Origin))-1)*IF(GanttPeriod&gt;=90,3,1)))</f>
        <v>46394</v>
      </c>
      <c r="KQ5" s="82" t="n">
        <f aca="false">IF(GanttPeriod&lt;28,GanttStart+((COLUMN()-COLUMN(gantt_Origin))-1)*GanttPeriod,EDATE(DATE(YEAR(GanttStart),MONTH(GanttStart)-IF(GanttPeriod&gt;=90,MOD(MONTH(GanttStart)-1,3),0),1),((COLUMN()-COLUMN(gantt_Origin))-1)*IF(GanttPeriod&gt;=90,3,1)))</f>
        <v>46395</v>
      </c>
      <c r="KR5" s="82" t="n">
        <f aca="false">IF(GanttPeriod&lt;28,GanttStart+((COLUMN()-COLUMN(gantt_Origin))-1)*GanttPeriod,EDATE(DATE(YEAR(GanttStart),MONTH(GanttStart)-IF(GanttPeriod&gt;=90,MOD(MONTH(GanttStart)-1,3),0),1),((COLUMN()-COLUMN(gantt_Origin))-1)*IF(GanttPeriod&gt;=90,3,1)))</f>
        <v>46396</v>
      </c>
      <c r="KS5" s="82" t="n">
        <f aca="false">IF(GanttPeriod&lt;28,GanttStart+((COLUMN()-COLUMN(gantt_Origin))-1)*GanttPeriod,EDATE(DATE(YEAR(GanttStart),MONTH(GanttStart)-IF(GanttPeriod&gt;=90,MOD(MONTH(GanttStart)-1,3),0),1),((COLUMN()-COLUMN(gantt_Origin))-1)*IF(GanttPeriod&gt;=90,3,1)))</f>
        <v>46397</v>
      </c>
      <c r="KT5" s="82" t="n">
        <f aca="false">IF(GanttPeriod&lt;28,GanttStart+((COLUMN()-COLUMN(gantt_Origin))-1)*GanttPeriod,EDATE(DATE(YEAR(GanttStart),MONTH(GanttStart)-IF(GanttPeriod&gt;=90,MOD(MONTH(GanttStart)-1,3),0),1),((COLUMN()-COLUMN(gantt_Origin))-1)*IF(GanttPeriod&gt;=90,3,1)))</f>
        <v>46398</v>
      </c>
      <c r="KU5" s="82" t="n">
        <f aca="false">IF(GanttPeriod&lt;28,GanttStart+((COLUMN()-COLUMN(gantt_Origin))-1)*GanttPeriod,EDATE(DATE(YEAR(GanttStart),MONTH(GanttStart)-IF(GanttPeriod&gt;=90,MOD(MONTH(GanttStart)-1,3),0),1),((COLUMN()-COLUMN(gantt_Origin))-1)*IF(GanttPeriod&gt;=90,3,1)))</f>
        <v>46399</v>
      </c>
      <c r="KV5" s="82" t="n">
        <f aca="false">IF(GanttPeriod&lt;28,GanttStart+((COLUMN()-COLUMN(gantt_Origin))-1)*GanttPeriod,EDATE(DATE(YEAR(GanttStart),MONTH(GanttStart)-IF(GanttPeriod&gt;=90,MOD(MONTH(GanttStart)-1,3),0),1),((COLUMN()-COLUMN(gantt_Origin))-1)*IF(GanttPeriod&gt;=90,3,1)))</f>
        <v>46400</v>
      </c>
      <c r="KW5" s="82" t="n">
        <f aca="false">IF(GanttPeriod&lt;28,GanttStart+((COLUMN()-COLUMN(gantt_Origin))-1)*GanttPeriod,EDATE(DATE(YEAR(GanttStart),MONTH(GanttStart)-IF(GanttPeriod&gt;=90,MOD(MONTH(GanttStart)-1,3),0),1),((COLUMN()-COLUMN(gantt_Origin))-1)*IF(GanttPeriod&gt;=90,3,1)))</f>
        <v>46401</v>
      </c>
      <c r="KX5" s="82" t="n">
        <f aca="false">IF(GanttPeriod&lt;28,GanttStart+((COLUMN()-COLUMN(gantt_Origin))-1)*GanttPeriod,EDATE(DATE(YEAR(GanttStart),MONTH(GanttStart)-IF(GanttPeriod&gt;=90,MOD(MONTH(GanttStart)-1,3),0),1),((COLUMN()-COLUMN(gantt_Origin))-1)*IF(GanttPeriod&gt;=90,3,1)))</f>
        <v>46402</v>
      </c>
      <c r="KY5" s="82" t="n">
        <f aca="false">IF(GanttPeriod&lt;28,GanttStart+((COLUMN()-COLUMN(gantt_Origin))-1)*GanttPeriod,EDATE(DATE(YEAR(GanttStart),MONTH(GanttStart)-IF(GanttPeriod&gt;=90,MOD(MONTH(GanttStart)-1,3),0),1),((COLUMN()-COLUMN(gantt_Origin))-1)*IF(GanttPeriod&gt;=90,3,1)))</f>
        <v>46403</v>
      </c>
      <c r="KZ5" s="82" t="n">
        <f aca="false">IF(GanttPeriod&lt;28,GanttStart+((COLUMN()-COLUMN(gantt_Origin))-1)*GanttPeriod,EDATE(DATE(YEAR(GanttStart),MONTH(GanttStart)-IF(GanttPeriod&gt;=90,MOD(MONTH(GanttStart)-1,3),0),1),((COLUMN()-COLUMN(gantt_Origin))-1)*IF(GanttPeriod&gt;=90,3,1)))</f>
        <v>46404</v>
      </c>
      <c r="LA5" s="82" t="n">
        <f aca="false">IF(GanttPeriod&lt;28,GanttStart+((COLUMN()-COLUMN(gantt_Origin))-1)*GanttPeriod,EDATE(DATE(YEAR(GanttStart),MONTH(GanttStart)-IF(GanttPeriod&gt;=90,MOD(MONTH(GanttStart)-1,3),0),1),((COLUMN()-COLUMN(gantt_Origin))-1)*IF(GanttPeriod&gt;=90,3,1)))</f>
        <v>46405</v>
      </c>
      <c r="LB5" s="82" t="n">
        <f aca="false">IF(GanttPeriod&lt;28,GanttStart+((COLUMN()-COLUMN(gantt_Origin))-1)*GanttPeriod,EDATE(DATE(YEAR(GanttStart),MONTH(GanttStart)-IF(GanttPeriod&gt;=90,MOD(MONTH(GanttStart)-1,3),0),1),((COLUMN()-COLUMN(gantt_Origin))-1)*IF(GanttPeriod&gt;=90,3,1)))</f>
        <v>46406</v>
      </c>
      <c r="LC5" s="82" t="n">
        <f aca="false">IF(GanttPeriod&lt;28,GanttStart+((COLUMN()-COLUMN(gantt_Origin))-1)*GanttPeriod,EDATE(DATE(YEAR(GanttStart),MONTH(GanttStart)-IF(GanttPeriod&gt;=90,MOD(MONTH(GanttStart)-1,3),0),1),((COLUMN()-COLUMN(gantt_Origin))-1)*IF(GanttPeriod&gt;=90,3,1)))</f>
        <v>46407</v>
      </c>
      <c r="LD5" s="82" t="n">
        <f aca="false">IF(GanttPeriod&lt;28,GanttStart+((COLUMN()-COLUMN(gantt_Origin))-1)*GanttPeriod,EDATE(DATE(YEAR(GanttStart),MONTH(GanttStart)-IF(GanttPeriod&gt;=90,MOD(MONTH(GanttStart)-1,3),0),1),((COLUMN()-COLUMN(gantt_Origin))-1)*IF(GanttPeriod&gt;=90,3,1)))</f>
        <v>46408</v>
      </c>
      <c r="LE5" s="82" t="n">
        <f aca="false">IF(GanttPeriod&lt;28,GanttStart+((COLUMN()-COLUMN(gantt_Origin))-1)*GanttPeriod,EDATE(DATE(YEAR(GanttStart),MONTH(GanttStart)-IF(GanttPeriod&gt;=90,MOD(MONTH(GanttStart)-1,3),0),1),((COLUMN()-COLUMN(gantt_Origin))-1)*IF(GanttPeriod&gt;=90,3,1)))</f>
        <v>46409</v>
      </c>
      <c r="LF5" s="82" t="n">
        <f aca="false">IF(GanttPeriod&lt;28,GanttStart+((COLUMN()-COLUMN(gantt_Origin))-1)*GanttPeriod,EDATE(DATE(YEAR(GanttStart),MONTH(GanttStart)-IF(GanttPeriod&gt;=90,MOD(MONTH(GanttStart)-1,3),0),1),((COLUMN()-COLUMN(gantt_Origin))-1)*IF(GanttPeriod&gt;=90,3,1)))</f>
        <v>46410</v>
      </c>
      <c r="LG5" s="82" t="n">
        <f aca="false">IF(GanttPeriod&lt;28,GanttStart+((COLUMN()-COLUMN(gantt_Origin))-1)*GanttPeriod,EDATE(DATE(YEAR(GanttStart),MONTH(GanttStart)-IF(GanttPeriod&gt;=90,MOD(MONTH(GanttStart)-1,3),0),1),((COLUMN()-COLUMN(gantt_Origin))-1)*IF(GanttPeriod&gt;=90,3,1)))</f>
        <v>46411</v>
      </c>
      <c r="LH5" s="82" t="n">
        <f aca="false">IF(GanttPeriod&lt;28,GanttStart+((COLUMN()-COLUMN(gantt_Origin))-1)*GanttPeriod,EDATE(DATE(YEAR(GanttStart),MONTH(GanttStart)-IF(GanttPeriod&gt;=90,MOD(MONTH(GanttStart)-1,3),0),1),((COLUMN()-COLUMN(gantt_Origin))-1)*IF(GanttPeriod&gt;=90,3,1)))</f>
        <v>46412</v>
      </c>
      <c r="LI5" s="82" t="n">
        <f aca="false">IF(GanttPeriod&lt;28,GanttStart+((COLUMN()-COLUMN(gantt_Origin))-1)*GanttPeriod,EDATE(DATE(YEAR(GanttStart),MONTH(GanttStart)-IF(GanttPeriod&gt;=90,MOD(MONTH(GanttStart)-1,3),0),1),((COLUMN()-COLUMN(gantt_Origin))-1)*IF(GanttPeriod&gt;=90,3,1)))</f>
        <v>46413</v>
      </c>
      <c r="LJ5" s="82" t="n">
        <f aca="false">IF(GanttPeriod&lt;28,GanttStart+((COLUMN()-COLUMN(gantt_Origin))-1)*GanttPeriod,EDATE(DATE(YEAR(GanttStart),MONTH(GanttStart)-IF(GanttPeriod&gt;=90,MOD(MONTH(GanttStart)-1,3),0),1),((COLUMN()-COLUMN(gantt_Origin))-1)*IF(GanttPeriod&gt;=90,3,1)))</f>
        <v>46414</v>
      </c>
      <c r="LK5" s="82" t="n">
        <f aca="false">IF(GanttPeriod&lt;28,GanttStart+((COLUMN()-COLUMN(gantt_Origin))-1)*GanttPeriod,EDATE(DATE(YEAR(GanttStart),MONTH(GanttStart)-IF(GanttPeriod&gt;=90,MOD(MONTH(GanttStart)-1,3),0),1),((COLUMN()-COLUMN(gantt_Origin))-1)*IF(GanttPeriod&gt;=90,3,1)))</f>
        <v>46415</v>
      </c>
      <c r="LL5" s="82" t="n">
        <f aca="false">IF(GanttPeriod&lt;28,GanttStart+((COLUMN()-COLUMN(gantt_Origin))-1)*GanttPeriod,EDATE(DATE(YEAR(GanttStart),MONTH(GanttStart)-IF(GanttPeriod&gt;=90,MOD(MONTH(GanttStart)-1,3),0),1),((COLUMN()-COLUMN(gantt_Origin))-1)*IF(GanttPeriod&gt;=90,3,1)))</f>
        <v>46416</v>
      </c>
      <c r="LM5" s="82" t="n">
        <f aca="false">IF(GanttPeriod&lt;28,GanttStart+((COLUMN()-COLUMN(gantt_Origin))-1)*GanttPeriod,EDATE(DATE(YEAR(GanttStart),MONTH(GanttStart)-IF(GanttPeriod&gt;=90,MOD(MONTH(GanttStart)-1,3),0),1),((COLUMN()-COLUMN(gantt_Origin))-1)*IF(GanttPeriod&gt;=90,3,1)))</f>
        <v>46417</v>
      </c>
      <c r="LN5" s="82" t="n">
        <f aca="false">IF(GanttPeriod&lt;28,GanttStart+((COLUMN()-COLUMN(gantt_Origin))-1)*GanttPeriod,EDATE(DATE(YEAR(GanttStart),MONTH(GanttStart)-IF(GanttPeriod&gt;=90,MOD(MONTH(GanttStart)-1,3),0),1),((COLUMN()-COLUMN(gantt_Origin))-1)*IF(GanttPeriod&gt;=90,3,1)))</f>
        <v>46418</v>
      </c>
      <c r="LO5" s="82" t="n">
        <f aca="false">IF(GanttPeriod&lt;28,GanttStart+((COLUMN()-COLUMN(gantt_Origin))-1)*GanttPeriod,EDATE(DATE(YEAR(GanttStart),MONTH(GanttStart)-IF(GanttPeriod&gt;=90,MOD(MONTH(GanttStart)-1,3),0),1),((COLUMN()-COLUMN(gantt_Origin))-1)*IF(GanttPeriod&gt;=90,3,1)))</f>
        <v>46419</v>
      </c>
      <c r="LP5" s="82" t="n">
        <f aca="false">IF(GanttPeriod&lt;28,GanttStart+((COLUMN()-COLUMN(gantt_Origin))-1)*GanttPeriod,EDATE(DATE(YEAR(GanttStart),MONTH(GanttStart)-IF(GanttPeriod&gt;=90,MOD(MONTH(GanttStart)-1,3),0),1),((COLUMN()-COLUMN(gantt_Origin))-1)*IF(GanttPeriod&gt;=90,3,1)))</f>
        <v>46420</v>
      </c>
      <c r="LQ5" s="82" t="n">
        <f aca="false">IF(GanttPeriod&lt;28,GanttStart+((COLUMN()-COLUMN(gantt_Origin))-1)*GanttPeriod,EDATE(DATE(YEAR(GanttStart),MONTH(GanttStart)-IF(GanttPeriod&gt;=90,MOD(MONTH(GanttStart)-1,3),0),1),((COLUMN()-COLUMN(gantt_Origin))-1)*IF(GanttPeriod&gt;=90,3,1)))</f>
        <v>46421</v>
      </c>
      <c r="LR5" s="82" t="n">
        <f aca="false">IF(GanttPeriod&lt;28,GanttStart+((COLUMN()-COLUMN(gantt_Origin))-1)*GanttPeriod,EDATE(DATE(YEAR(GanttStart),MONTH(GanttStart)-IF(GanttPeriod&gt;=90,MOD(MONTH(GanttStart)-1,3),0),1),((COLUMN()-COLUMN(gantt_Origin))-1)*IF(GanttPeriod&gt;=90,3,1)))</f>
        <v>46422</v>
      </c>
      <c r="LS5" s="82" t="n">
        <f aca="false">IF(GanttPeriod&lt;28,GanttStart+((COLUMN()-COLUMN(gantt_Origin))-1)*GanttPeriod,EDATE(DATE(YEAR(GanttStart),MONTH(GanttStart)-IF(GanttPeriod&gt;=90,MOD(MONTH(GanttStart)-1,3),0),1),((COLUMN()-COLUMN(gantt_Origin))-1)*IF(GanttPeriod&gt;=90,3,1)))</f>
        <v>46423</v>
      </c>
      <c r="LT5" s="82" t="n">
        <f aca="false">IF(GanttPeriod&lt;28,GanttStart+((COLUMN()-COLUMN(gantt_Origin))-1)*GanttPeriod,EDATE(DATE(YEAR(GanttStart),MONTH(GanttStart)-IF(GanttPeriod&gt;=90,MOD(MONTH(GanttStart)-1,3),0),1),((COLUMN()-COLUMN(gantt_Origin))-1)*IF(GanttPeriod&gt;=90,3,1)))</f>
        <v>46424</v>
      </c>
      <c r="LU5" s="82" t="n">
        <f aca="false">IF(GanttPeriod&lt;28,GanttStart+((COLUMN()-COLUMN(gantt_Origin))-1)*GanttPeriod,EDATE(DATE(YEAR(GanttStart),MONTH(GanttStart)-IF(GanttPeriod&gt;=90,MOD(MONTH(GanttStart)-1,3),0),1),((COLUMN()-COLUMN(gantt_Origin))-1)*IF(GanttPeriod&gt;=90,3,1)))</f>
        <v>46425</v>
      </c>
      <c r="LV5" s="82" t="n">
        <f aca="false">IF(GanttPeriod&lt;28,GanttStart+((COLUMN()-COLUMN(gantt_Origin))-1)*GanttPeriod,EDATE(DATE(YEAR(GanttStart),MONTH(GanttStart)-IF(GanttPeriod&gt;=90,MOD(MONTH(GanttStart)-1,3),0),1),((COLUMN()-COLUMN(gantt_Origin))-1)*IF(GanttPeriod&gt;=90,3,1)))</f>
        <v>46426</v>
      </c>
      <c r="LW5" s="82" t="n">
        <f aca="false">IF(GanttPeriod&lt;28,GanttStart+((COLUMN()-COLUMN(gantt_Origin))-1)*GanttPeriod,EDATE(DATE(YEAR(GanttStart),MONTH(GanttStart)-IF(GanttPeriod&gt;=90,MOD(MONTH(GanttStart)-1,3),0),1),((COLUMN()-COLUMN(gantt_Origin))-1)*IF(GanttPeriod&gt;=90,3,1)))</f>
        <v>46427</v>
      </c>
      <c r="LX5" s="82" t="n">
        <f aca="false">IF(GanttPeriod&lt;28,GanttStart+((COLUMN()-COLUMN(gantt_Origin))-1)*GanttPeriod,EDATE(DATE(YEAR(GanttStart),MONTH(GanttStart)-IF(GanttPeriod&gt;=90,MOD(MONTH(GanttStart)-1,3),0),1),((COLUMN()-COLUMN(gantt_Origin))-1)*IF(GanttPeriod&gt;=90,3,1)))</f>
        <v>46428</v>
      </c>
      <c r="LY5" s="82" t="n">
        <f aca="false">IF(GanttPeriod&lt;28,GanttStart+((COLUMN()-COLUMN(gantt_Origin))-1)*GanttPeriod,EDATE(DATE(YEAR(GanttStart),MONTH(GanttStart)-IF(GanttPeriod&gt;=90,MOD(MONTH(GanttStart)-1,3),0),1),((COLUMN()-COLUMN(gantt_Origin))-1)*IF(GanttPeriod&gt;=90,3,1)))</f>
        <v>46429</v>
      </c>
      <c r="LZ5" s="82" t="n">
        <f aca="false">IF(GanttPeriod&lt;28,GanttStart+((COLUMN()-COLUMN(gantt_Origin))-1)*GanttPeriod,EDATE(DATE(YEAR(GanttStart),MONTH(GanttStart)-IF(GanttPeriod&gt;=90,MOD(MONTH(GanttStart)-1,3),0),1),((COLUMN()-COLUMN(gantt_Origin))-1)*IF(GanttPeriod&gt;=90,3,1)))</f>
        <v>46430</v>
      </c>
      <c r="MA5" s="82" t="n">
        <f aca="false">IF(GanttPeriod&lt;28,GanttStart+((COLUMN()-COLUMN(gantt_Origin))-1)*GanttPeriod,EDATE(DATE(YEAR(GanttStart),MONTH(GanttStart)-IF(GanttPeriod&gt;=90,MOD(MONTH(GanttStart)-1,3),0),1),((COLUMN()-COLUMN(gantt_Origin))-1)*IF(GanttPeriod&gt;=90,3,1)))</f>
        <v>46431</v>
      </c>
      <c r="MB5" s="82" t="n">
        <f aca="false">IF(GanttPeriod&lt;28,GanttStart+((COLUMN()-COLUMN(gantt_Origin))-1)*GanttPeriod,EDATE(DATE(YEAR(GanttStart),MONTH(GanttStart)-IF(GanttPeriod&gt;=90,MOD(MONTH(GanttStart)-1,3),0),1),((COLUMN()-COLUMN(gantt_Origin))-1)*IF(GanttPeriod&gt;=90,3,1)))</f>
        <v>46432</v>
      </c>
      <c r="MC5" s="82" t="n">
        <f aca="false">IF(GanttPeriod&lt;28,GanttStart+((COLUMN()-COLUMN(gantt_Origin))-1)*GanttPeriod,EDATE(DATE(YEAR(GanttStart),MONTH(GanttStart)-IF(GanttPeriod&gt;=90,MOD(MONTH(GanttStart)-1,3),0),1),((COLUMN()-COLUMN(gantt_Origin))-1)*IF(GanttPeriod&gt;=90,3,1)))</f>
        <v>46433</v>
      </c>
      <c r="MD5" s="82" t="n">
        <f aca="false">IF(GanttPeriod&lt;28,GanttStart+((COLUMN()-COLUMN(gantt_Origin))-1)*GanttPeriod,EDATE(DATE(YEAR(GanttStart),MONTH(GanttStart)-IF(GanttPeriod&gt;=90,MOD(MONTH(GanttStart)-1,3),0),1),((COLUMN()-COLUMN(gantt_Origin))-1)*IF(GanttPeriod&gt;=90,3,1)))</f>
        <v>46434</v>
      </c>
      <c r="ME5" s="82" t="n">
        <f aca="false">IF(GanttPeriod&lt;28,GanttStart+((COLUMN()-COLUMN(gantt_Origin))-1)*GanttPeriod,EDATE(DATE(YEAR(GanttStart),MONTH(GanttStart)-IF(GanttPeriod&gt;=90,MOD(MONTH(GanttStart)-1,3),0),1),((COLUMN()-COLUMN(gantt_Origin))-1)*IF(GanttPeriod&gt;=90,3,1)))</f>
        <v>46435</v>
      </c>
      <c r="MF5" s="82" t="n">
        <f aca="false">IF(GanttPeriod&lt;28,GanttStart+((COLUMN()-COLUMN(gantt_Origin))-1)*GanttPeriod,EDATE(DATE(YEAR(GanttStart),MONTH(GanttStart)-IF(GanttPeriod&gt;=90,MOD(MONTH(GanttStart)-1,3),0),1),((COLUMN()-COLUMN(gantt_Origin))-1)*IF(GanttPeriod&gt;=90,3,1)))</f>
        <v>46436</v>
      </c>
      <c r="MG5" s="82" t="n">
        <f aca="false">IF(GanttPeriod&lt;28,GanttStart+((COLUMN()-COLUMN(gantt_Origin))-1)*GanttPeriod,EDATE(DATE(YEAR(GanttStart),MONTH(GanttStart)-IF(GanttPeriod&gt;=90,MOD(MONTH(GanttStart)-1,3),0),1),((COLUMN()-COLUMN(gantt_Origin))-1)*IF(GanttPeriod&gt;=90,3,1)))</f>
        <v>46437</v>
      </c>
      <c r="MH5" s="82" t="n">
        <f aca="false">IF(GanttPeriod&lt;28,GanttStart+((COLUMN()-COLUMN(gantt_Origin))-1)*GanttPeriod,EDATE(DATE(YEAR(GanttStart),MONTH(GanttStart)-IF(GanttPeriod&gt;=90,MOD(MONTH(GanttStart)-1,3),0),1),((COLUMN()-COLUMN(gantt_Origin))-1)*IF(GanttPeriod&gt;=90,3,1)))</f>
        <v>46438</v>
      </c>
      <c r="MI5" s="82" t="n">
        <f aca="false">IF(GanttPeriod&lt;28,GanttStart+((COLUMN()-COLUMN(gantt_Origin))-1)*GanttPeriod,EDATE(DATE(YEAR(GanttStart),MONTH(GanttStart)-IF(GanttPeriod&gt;=90,MOD(MONTH(GanttStart)-1,3),0),1),((COLUMN()-COLUMN(gantt_Origin))-1)*IF(GanttPeriod&gt;=90,3,1)))</f>
        <v>46439</v>
      </c>
      <c r="MJ5" s="82" t="n">
        <f aca="false">IF(GanttPeriod&lt;28,GanttStart+((COLUMN()-COLUMN(gantt_Origin))-1)*GanttPeriod,EDATE(DATE(YEAR(GanttStart),MONTH(GanttStart)-IF(GanttPeriod&gt;=90,MOD(MONTH(GanttStart)-1,3),0),1),((COLUMN()-COLUMN(gantt_Origin))-1)*IF(GanttPeriod&gt;=90,3,1)))</f>
        <v>46440</v>
      </c>
      <c r="MK5" s="82" t="n">
        <f aca="false">IF(GanttPeriod&lt;28,GanttStart+((COLUMN()-COLUMN(gantt_Origin))-1)*GanttPeriod,EDATE(DATE(YEAR(GanttStart),MONTH(GanttStart)-IF(GanttPeriod&gt;=90,MOD(MONTH(GanttStart)-1,3),0),1),((COLUMN()-COLUMN(gantt_Origin))-1)*IF(GanttPeriod&gt;=90,3,1)))</f>
        <v>46441</v>
      </c>
      <c r="ML5" s="82" t="n">
        <f aca="false">IF(GanttPeriod&lt;28,GanttStart+((COLUMN()-COLUMN(gantt_Origin))-1)*GanttPeriod,EDATE(DATE(YEAR(GanttStart),MONTH(GanttStart)-IF(GanttPeriod&gt;=90,MOD(MONTH(GanttStart)-1,3),0),1),((COLUMN()-COLUMN(gantt_Origin))-1)*IF(GanttPeriod&gt;=90,3,1)))</f>
        <v>46442</v>
      </c>
      <c r="MM5" s="82" t="n">
        <f aca="false">IF(GanttPeriod&lt;28,GanttStart+((COLUMN()-COLUMN(gantt_Origin))-1)*GanttPeriod,EDATE(DATE(YEAR(GanttStart),MONTH(GanttStart)-IF(GanttPeriod&gt;=90,MOD(MONTH(GanttStart)-1,3),0),1),((COLUMN()-COLUMN(gantt_Origin))-1)*IF(GanttPeriod&gt;=90,3,1)))</f>
        <v>46443</v>
      </c>
      <c r="MN5" s="82" t="n">
        <f aca="false">IF(GanttPeriod&lt;28,GanttStart+((COLUMN()-COLUMN(gantt_Origin))-1)*GanttPeriod,EDATE(DATE(YEAR(GanttStart),MONTH(GanttStart)-IF(GanttPeriod&gt;=90,MOD(MONTH(GanttStart)-1,3),0),1),((COLUMN()-COLUMN(gantt_Origin))-1)*IF(GanttPeriod&gt;=90,3,1)))</f>
        <v>46444</v>
      </c>
      <c r="MO5" s="82" t="n">
        <f aca="false">IF(GanttPeriod&lt;28,GanttStart+((COLUMN()-COLUMN(gantt_Origin))-1)*GanttPeriod,EDATE(DATE(YEAR(GanttStart),MONTH(GanttStart)-IF(GanttPeriod&gt;=90,MOD(MONTH(GanttStart)-1,3),0),1),((COLUMN()-COLUMN(gantt_Origin))-1)*IF(GanttPeriod&gt;=90,3,1)))</f>
        <v>46445</v>
      </c>
      <c r="MP5" s="82" t="n">
        <f aca="false">IF(GanttPeriod&lt;28,GanttStart+((COLUMN()-COLUMN(gantt_Origin))-1)*GanttPeriod,EDATE(DATE(YEAR(GanttStart),MONTH(GanttStart)-IF(GanttPeriod&gt;=90,MOD(MONTH(GanttStart)-1,3),0),1),((COLUMN()-COLUMN(gantt_Origin))-1)*IF(GanttPeriod&gt;=90,3,1)))</f>
        <v>46446</v>
      </c>
      <c r="MQ5" s="82" t="n">
        <f aca="false">IF(GanttPeriod&lt;28,GanttStart+((COLUMN()-COLUMN(gantt_Origin))-1)*GanttPeriod,EDATE(DATE(YEAR(GanttStart),MONTH(GanttStart)-IF(GanttPeriod&gt;=90,MOD(MONTH(GanttStart)-1,3),0),1),((COLUMN()-COLUMN(gantt_Origin))-1)*IF(GanttPeriod&gt;=90,3,1)))</f>
        <v>46447</v>
      </c>
      <c r="MR5" s="82" t="n">
        <f aca="false">IF(GanttPeriod&lt;28,GanttStart+((COLUMN()-COLUMN(gantt_Origin))-1)*GanttPeriod,EDATE(DATE(YEAR(GanttStart),MONTH(GanttStart)-IF(GanttPeriod&gt;=90,MOD(MONTH(GanttStart)-1,3),0),1),((COLUMN()-COLUMN(gantt_Origin))-1)*IF(GanttPeriod&gt;=90,3,1)))</f>
        <v>46448</v>
      </c>
      <c r="MS5" s="82"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608</v>
      </c>
      <c r="E6" s="22"/>
      <c r="F6" s="23"/>
      <c r="G6" s="22"/>
      <c r="H6" s="22"/>
      <c r="I6" s="23"/>
      <c r="J6" s="22"/>
      <c r="K6" s="22"/>
      <c r="L6" s="23"/>
      <c r="M6" s="22"/>
      <c r="N6" s="22"/>
      <c r="O6" s="23"/>
      <c r="P6" s="22"/>
      <c r="Q6" s="22"/>
      <c r="R6" s="23"/>
      <c r="S6" s="23"/>
      <c r="T6" s="83"/>
      <c r="U6" s="23"/>
      <c r="V6" s="83"/>
      <c r="W6" s="23"/>
      <c r="X6" s="83"/>
      <c r="Y6" s="23"/>
      <c r="Z6" s="83"/>
      <c r="AA6" s="23"/>
      <c r="AB6" s="23"/>
      <c r="AC6" s="7"/>
      <c r="AD6" s="7"/>
      <c r="AE6" s="62" t="n">
        <f aca="false">IF(Tasks[[#This Row],[Task Name]]="","",IF(Tasks[[#This Row],[_IsSummary]],MIN(INDEX(Tasks[_ShownFcstStart],Tasks[[#This Row],[_Row]]+1):INDEX(Tasks[_ShownFcstStart],Tasks[[#This Row],[_Row]]+Tasks[[#This Row],[_Descendants]])),Tasks[[#This Row],[_ShownFcstStart]]))</f>
        <v>46272</v>
      </c>
      <c r="AF6" s="62" t="n">
        <f aca="false">IF(Tasks[[#This Row],[Task Name]]="","",IF(Tasks[[#This Row],[_IsSummary]],MAX(INDEX(Tasks[_ShownFcstFinish],Tasks[[#This Row],[_Row]]+1):INDEX(Tasks[_ShownFcstFinish],Tasks[[#This Row],[_Row]]+Tasks[[#This Row],[_Descendants]])),Tasks[[#This Row],[_ShownFcstFinish]]))</f>
        <v>46279</v>
      </c>
      <c r="AG6" s="21" t="str">
        <f aca="false">""</f>
        <v/>
      </c>
      <c r="AH6" s="23" t="s">
        <v>609</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 s="7"/>
      <c r="AK6" s="22" t="s">
        <v>235</v>
      </c>
      <c r="AL6" s="23"/>
      <c r="AM6" s="7"/>
      <c r="AN6" s="46"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2" t="n">
        <f aca="false">IF(Tasks[[#This Row],[Task Name]]="","",IF(N(Tasks[[#This Row],[Baseline Start]])&gt;0,Tasks[[#This Row],[Baseline Start]],Tasks[[#This Row],[_CalcStart]]))</f>
        <v>46272</v>
      </c>
      <c r="AR6" s="62" t="n">
        <f aca="false">IF(Tasks[[#This Row],[Task Name]]="","",IF(N(Tasks[[#This Row],[Baseline Finish]])&gt;0,Tasks[[#This Row],[Baseline Finish]],Tasks[[#This Row],[_CalcFinish]]))</f>
        <v>46276</v>
      </c>
      <c r="AS6" s="46" t="n">
        <f aca="false">IF(Tasks[[#This Row],[Task Name]]="","",IF(Tasks[[#This Row],[Start]]&gt;=Tasks[[#This Row],[Planned Start]],NETWORKDAYS.INTL(Tasks[[#This Row],[Planned Start]],Tasks[[#This Row],[Start]],WorkWeek,Holidays)-1,1-NETWORKDAYS.INTL(Tasks[[#This Row],[Start]],Tasks[[#This Row],[Planned Start]],WorkWeek,Holidays)))</f>
        <v>0</v>
      </c>
      <c r="AT6" s="62" t="n">
        <f aca="false">IF(Tasks[[#This Row],[Task Name]]="","",IF(Tasks[[#This Row],[_IsSummary]],MIN(INDEX(Tasks[_LeafLateStart],Tasks[[#This Row],[_Row]]+1):INDEX(Tasks[_LeafLateStart],Tasks[[#This Row],[_Row]]+Tasks[[#This Row],[_Descendants]])),Tasks[[#This Row],[_LeafLateStart]]))</f>
        <v>46276</v>
      </c>
      <c r="AU6" s="62" t="n">
        <f aca="false">IF(Tasks[[#This Row],[Task Name]]="","",IF(Tasks[[#This Row],[_IsSummary]],MAX(INDEX(Tasks[_LeafLateFinish],Tasks[[#This Row],[_Row]]+1):INDEX(Tasks[_LeafLateFinish],Tasks[[#This Row],[_Row]]+Tasks[[#This Row],[_Descendants]])),Tasks[[#This Row],[_LeafLateFinish]]))</f>
        <v>46282</v>
      </c>
      <c r="AV6" s="46"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4"/>
      <c r="BA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5"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6"/>
      <c r="BJ6" s="22"/>
      <c r="BK6" s="46" t="n">
        <f aca="false">IF(OR(Tasks[[#This Row],[Task Name]]="",Tasks[[#This Row],[Baseline Duration]]=""),"",Tasks[[#This Row],[_SpanDays]]-N(Tasks[[#This Row],[Baseline Duration]]))</f>
        <v>1</v>
      </c>
      <c r="BL6" s="85" t="n">
        <f aca="false">IF(OR(Tasks[[#This Row],[Task Name]]="",Tasks[[#This Row],[Baseline Work]]=""),"",Tasks[[#This Row],[Work]]-N(Tasks[[#This Row],[Baseline Work]]))</f>
        <v>0</v>
      </c>
      <c r="BM6" s="62" t="n">
        <f aca="false">IF(Tasks[[#This Row],[Task Name]]="","",IF(OR(TakeBaseline="Yes",N(Tasks[[#This Row],[Baseline Start]])=0),Tasks[[#This Row],[Start]],Tasks[[#This Row],[Baseline Start]]))</f>
        <v>46272</v>
      </c>
      <c r="BN6" s="62"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5" t="n">
        <f aca="false">IF(Tasks[[#This Row],[Task Name]]="","",IF(OR(TakeBaseline="Yes",N(Tasks[[#This Row],[Baseline Work]])=0),Tasks[[#This Row],[Work]],Tasks[[#This Row],[Baseline Work]]))</f>
        <v>40</v>
      </c>
      <c r="BQ6" s="7" t="n">
        <v>46272</v>
      </c>
      <c r="BR6" s="7" t="n">
        <v>46276</v>
      </c>
      <c r="BS6" s="22" t="n">
        <v>5</v>
      </c>
      <c r="BT6" s="87" t="n">
        <v>40</v>
      </c>
      <c r="BU6" s="42" t="n">
        <f aca="false">IF(Tasks[[#This Row],[Task Name]]="","",MAX(1,N(Tasks[[#This Row],[Level]])))</f>
        <v>1</v>
      </c>
      <c r="BV6" s="42" t="n">
        <f aca="false">ROW()-ROW(Tasks[[#Headers],[ID]])</f>
        <v>1</v>
      </c>
      <c r="BW6" s="42" t="n">
        <f aca="false">IF(OR(Tasks[[#This Row],[Task Name]]="",Tasks[[#This Row],[_Level]]&lt;=1),0,IFERROR(LOOKUP(2,1/(Tasks[[#Headers],[_Level]]:Tasks[[#This Row],[_Level]]=Tasks[[#This Row],[_Level]]-1),ROW(Tasks[[#Headers],[_Level]]:Tasks[[#This Row],[_Level]])),0))</f>
        <v>0</v>
      </c>
      <c r="BX6" s="42" t="n">
        <f aca="false">IFERROR(N(INDEX(Tasks[_Level],Tasks[[#This Row],[_Row]]+1)),0)</f>
        <v>2</v>
      </c>
      <c r="BY6" s="88" t="b">
        <f aca="false">AND(Tasks[[#This Row],[Task Name]]&lt;&gt;"",Tasks[[#This Row],[_NextLevel]]&gt;Tasks[[#This Row],[_Level]])</f>
        <v>1</v>
      </c>
      <c r="BZ6" s="42" t="n">
        <f aca="false">IF(Tasks[[#This Row],[_IsSummary]],COUNTIF(Tasks[WBS],Tasks[[#This Row],[WBS]]&amp;".*"),0)</f>
        <v>3</v>
      </c>
      <c r="CA6" s="42" t="n">
        <f aca="false">IF(AND(Tasks[[#This Row],[Task Name]]&lt;&gt;"",NOT(Tasks[[#This Row],[_IsSummary]])),1,0)</f>
        <v>0</v>
      </c>
      <c r="CB6" s="42" t="n">
        <f aca="false">IF(N(Tasks[[#This Row],[_Pred1UID]])=0,0,IFERROR(MATCH(Tasks[[#This Row],[_Pred1UID]],Tasks[UID],0),-1))</f>
        <v>0</v>
      </c>
      <c r="CC6" s="42" t="n">
        <f aca="false">IF(N(Tasks[[#This Row],[_Pred2UID]])=0,0,IFERROR(MATCH(Tasks[[#This Row],[_Pred2UID]],Tasks[UID],0),-1))</f>
        <v>0</v>
      </c>
      <c r="CD6" s="42" t="n">
        <f aca="false">IF(N(Tasks[[#This Row],[_Pred3UID]])=0,0,IFERROR(MATCH(Tasks[[#This Row],[_Pred3UID]],Tasks[UID],0),-1))</f>
        <v>0</v>
      </c>
      <c r="CE6" s="42" t="n">
        <f aca="false">IF(N(Tasks[[#This Row],[_Pred4UID]])=0,0,IFERROR(MATCH(Tasks[[#This Row],[_Pred4UID]],Tasks[UID],0),-1))</f>
        <v>0</v>
      </c>
      <c r="CF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 s="89" t="n">
        <f aca="false">IF(OR(Tasks[[#This Row],[_ConstraintCode]]=2,Tasks[[#This Row],[_ConstraintCode]]=3,Tasks[[#This Row],[_ConstraintCode]]=4,Tasks[[#This Row],[_ConstraintCode]]=6),Tasks[[#This Row],[_ConstraintStart]],0)</f>
        <v>0</v>
      </c>
      <c r="CI6" s="89" t="n">
        <f aca="false">IF(OR(Tasks[[#This Row],[_ConstraintCode]]=2,Tasks[[#This Row],[_ConstraintCode]]=3,Tasks[[#This Row],[_ConstraintCode]]=5,Tasks[[#This Row],[_ConstraintCode]]=7),Tasks[[#This Row],[_ConstraintStart]],2958465)</f>
        <v>2958465</v>
      </c>
      <c r="CJ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 s="89" t="str">
        <f aca="false">IF(NOT(Tasks[[#This Row],[_IsLeaf]]=1),"",IF(N(Tasks[[#This Row],[_Days]])&lt;=0,Tasks[[#This Row],[_LeafCalcStart]],WORKDAY.INTL(Tasks[[#This Row],[_LeafCalcStart]],Tasks[[#This Row],[_Days]]-1,WorkWeek,Holidays)))</f>
        <v/>
      </c>
      <c r="CL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 s="42" t="str">
        <f aca="false">IF(Tasks[[#This Row],[_Predecessors]]="","",TRIM(MID(SUBSTITUTE(SUBSTITUTE(SUBSTITUTE(UPPER(Tasks[[#This Row],[_Predecessors]]),";",",")," ",""),",",REPT(" ",99)),1,99)))</f>
        <v/>
      </c>
      <c r="CO6" s="42" t="str">
        <f aca="false">IF(Tasks[[#This Row],[_Pred1Text]]="","",IFERROR(VALUE(LEFT(Tasks[[#This Row],[_Pred1Text]],MIN(FIND("F",Tasks[[#This Row],[_Pred1Text]]&amp;"F"),FIND("S",Tasks[[#This Row],[_Pred1Text]]&amp;"S"),FIND("+",Tasks[[#This Row],[_Pred1Text]]&amp;"+"),FIND("-",Tasks[[#This Row],[_Pred1Text]]&amp;"-"))-1)),""))</f>
        <v/>
      </c>
      <c r="CP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 s="42" t="str">
        <f aca="false">IF(Tasks[[#This Row],[_Pred1Text]]="","",TRIM(MID(SUBSTITUTE(SUBSTITUTE(SUBSTITUTE(UPPER(Tasks[[#This Row],[_Predecessors]]),";",",")," ",""),",",REPT(" ",99)),100,99)))</f>
        <v/>
      </c>
      <c r="CS6" s="42" t="str">
        <f aca="false">IF(Tasks[[#This Row],[_Pred2Text]]="","",IFERROR(VALUE(LEFT(Tasks[[#This Row],[_Pred2Text]],MIN(FIND("F",Tasks[[#This Row],[_Pred2Text]]&amp;"F"),FIND("S",Tasks[[#This Row],[_Pred2Text]]&amp;"S"),FIND("+",Tasks[[#This Row],[_Pred2Text]]&amp;"+"),FIND("-",Tasks[[#This Row],[_Pred2Text]]&amp;"-"))-1)),""))</f>
        <v/>
      </c>
      <c r="CT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 s="42" t="str">
        <f aca="false">IF(Tasks[[#This Row],[_Pred2Text]]="","",TRIM(MID(SUBSTITUTE(SUBSTITUTE(SUBSTITUTE(UPPER(Tasks[[#This Row],[_Predecessors]]),";",",")," ",""),",",REPT(" ",99)),199,99)))</f>
        <v/>
      </c>
      <c r="CW6" s="42" t="str">
        <f aca="false">IF(Tasks[[#This Row],[_Pred3Text]]="","",IFERROR(VALUE(LEFT(Tasks[[#This Row],[_Pred3Text]],MIN(FIND("F",Tasks[[#This Row],[_Pred3Text]]&amp;"F"),FIND("S",Tasks[[#This Row],[_Pred3Text]]&amp;"S"),FIND("+",Tasks[[#This Row],[_Pred3Text]]&amp;"+"),FIND("-",Tasks[[#This Row],[_Pred3Text]]&amp;"-"))-1)),""))</f>
        <v/>
      </c>
      <c r="CX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 s="42" t="str">
        <f aca="false">IF(Tasks[[#This Row],[_Pred3Text]]="","",TRIM(MID(SUBSTITUTE(SUBSTITUTE(SUBSTITUTE(UPPER(Tasks[[#This Row],[_Predecessors]]),";",",")," ",""),",",REPT(" ",99)),298,99)))</f>
        <v/>
      </c>
      <c r="DA6" s="42" t="str">
        <f aca="false">IF(Tasks[[#This Row],[_Pred4Text]]="","",IFERROR(VALUE(LEFT(Tasks[[#This Row],[_Pred4Text]],MIN(FIND("F",Tasks[[#This Row],[_Pred4Text]]&amp;"F"),FIND("S",Tasks[[#This Row],[_Pred4Text]]&amp;"S"),FIND("+",Tasks[[#This Row],[_Pred4Text]]&amp;"+"),FIND("-",Tasks[[#This Row],[_Pred4Text]]&amp;"-"))-1)),""))</f>
        <v/>
      </c>
      <c r="DB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 s="42" t="str">
        <f aca="false">IF(OR(Tasks[[#This Row],[Task Name]]="",Tasks[[#This Row],[_Resources]]=""),"",TRIM(MID(SUBSTITUTE(Tasks[[#This Row],[_Resources]],",",REPT(" ",99)),1,99)))</f>
        <v/>
      </c>
      <c r="DE6" s="42" t="str">
        <f aca="false">IF(Tasks[[#This Row],[_Res1Text]]="","",TRIM(MID(SUBSTITUTE(Tasks[[#This Row],[_Resources]],",",REPT(" ",99)),100,99)))</f>
        <v/>
      </c>
      <c r="DF6" s="42" t="str">
        <f aca="false">IF(Tasks[[#This Row],[_Res2Text]]="","",TRIM(MID(SUBSTITUTE(Tasks[[#This Row],[_Resources]],",",REPT(" ",99)),199,99)))</f>
        <v/>
      </c>
      <c r="DG6" s="42" t="str">
        <f aca="false">IF(Tasks[[#This Row],[_Res3Text]]="","",TRIM(MID(SUBSTITUTE(Tasks[[#This Row],[_Resources]],",",REPT(" ",99)),298,99)))</f>
        <v/>
      </c>
      <c r="DH6" s="42" t="n">
        <f aca="false">IF(Tasks[[#This Row],[_Res1Text]]="",0,IFERROR(MATCH(TRIM(LEFT(Tasks[[#This Row],[_Res1Text]],FIND("[",Tasks[[#This Row],[_Res1Text]]&amp;"[")-1)),res_Name,0),IFERROR(MATCH(TRIM(LEFT(Tasks[[#This Row],[_Res1Text]],FIND("[",Tasks[[#This Row],[_Res1Text]]&amp;"[")-1)),res_Initials,0),0)))</f>
        <v>0</v>
      </c>
      <c r="DI6" s="42" t="n">
        <f aca="false">IF(Tasks[[#This Row],[_Res2Text]]="",0,IFERROR(MATCH(TRIM(LEFT(Tasks[[#This Row],[_Res2Text]],FIND("[",Tasks[[#This Row],[_Res2Text]]&amp;"[")-1)),res_Name,0),IFERROR(MATCH(TRIM(LEFT(Tasks[[#This Row],[_Res2Text]],FIND("[",Tasks[[#This Row],[_Res2Text]]&amp;"[")-1)),res_Initials,0),0)))</f>
        <v>0</v>
      </c>
      <c r="DJ6" s="42" t="n">
        <f aca="false">IF(Tasks[[#This Row],[_Res3Text]]="",0,IFERROR(MATCH(TRIM(LEFT(Tasks[[#This Row],[_Res3Text]],FIND("[",Tasks[[#This Row],[_Res3Text]]&amp;"[")-1)),res_Name,0),IFERROR(MATCH(TRIM(LEFT(Tasks[[#This Row],[_Res3Text]],FIND("[",Tasks[[#This Row],[_Res3Text]]&amp;"[")-1)),res_Initials,0),0)))</f>
        <v>0</v>
      </c>
      <c r="DK6" s="42" t="n">
        <f aca="false">IF(Tasks[[#This Row],[_Res4Text]]="",0,IFERROR(MATCH(TRIM(LEFT(Tasks[[#This Row],[_Res4Text]],FIND("[",Tasks[[#This Row],[_Res4Text]]&amp;"[")-1)),res_Name,0),IFERROR(MATCH(TRIM(LEFT(Tasks[[#This Row],[_Res4Text]],FIND("[",Tasks[[#This Row],[_Res4Text]]&amp;"[")-1)),res_Initials,0),0)))</f>
        <v>0</v>
      </c>
      <c r="DL6" s="42" t="str">
        <f aca="false">IF(Tasks[[#This Row],[_Res1Text]]="","",IF(Tasks[[#This Row],[_Res1Row]]&gt;0,INDEX(res_Name,Tasks[[#This Row],[_Res1Row]]),TRIM(LEFT(Tasks[[#This Row],[_Res1Text]],FIND("[",Tasks[[#This Row],[_Res1Text]]&amp;"[")-1))))</f>
        <v/>
      </c>
      <c r="DM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 s="42" t="n">
        <f aca="false">IF(NOT(Tasks[[#This Row],[_IsLeaf]]=1),0,(Tasks[[#This Row],[_Resource1]]&lt;&gt;"")+(Tasks[[#This Row],[_Res2]]&lt;&gt;"")+(Tasks[[#This Row],[_Res3]]&lt;&gt;"")+(Tasks[[#This Row],[_Res4]]&lt;&gt;""))</f>
        <v>0</v>
      </c>
      <c r="DO6" s="42" t="str">
        <f aca="false">IF(Tasks[[#This Row],[_Res2Text]]="","",IF(Tasks[[#This Row],[_Res2Row]]&gt;0,INDEX(res_Name,Tasks[[#This Row],[_Res2Row]]),TRIM(LEFT(Tasks[[#This Row],[_Res2Text]],FIND("[",Tasks[[#This Row],[_Res2Text]]&amp;"[")-1))))</f>
        <v/>
      </c>
      <c r="DP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 s="42" t="n">
        <f aca="false">IF(OR(NOT(Tasks[[#This Row],[_IsLeaf]]=1),Tasks[[#This Row],[_Res2Row]]=0),0,N(Tasks[[#This Row],[_Days]])*HoursPerDay*IF(Tasks[[#This Row],[_Res2Units]]="",DefaultUnits,Tasks[[#This Row],[_Res2Units]]))</f>
        <v>0</v>
      </c>
      <c r="DR6" s="42" t="n">
        <f aca="false">IF(AND(AND(Tasks[[#This Row],[_IsLeaf]]=1,Tasks[[#This Row],[_LeafTotalWork]]&gt;0),Tasks[[#This Row],[_Res2Work]]&gt;0),Tasks[[#This Row],[_Res2Work]]/(Tasks[[#This Row],[_FinishWorkday]]-Tasks[[#This Row],[_StartWorkday]]+1),0)</f>
        <v>0</v>
      </c>
      <c r="DS6" s="42" t="n">
        <f aca="false">Tasks[[#This Row],[_Res2WorkPerWD]]*MAX(0,Tasks[[#This Row],[_StartWorkday]]-1)</f>
        <v>0</v>
      </c>
      <c r="DT6" s="42" t="n">
        <f aca="false">Tasks[[#This Row],[_Res2Work]]*Tasks[[#This Row],[_LeafProgress]]</f>
        <v>0</v>
      </c>
      <c r="DU6" s="42" t="str">
        <f aca="false">IF(Tasks[[#This Row],[_Res3Text]]="","",IF(Tasks[[#This Row],[_Res3Row]]&gt;0,INDEX(res_Name,Tasks[[#This Row],[_Res3Row]]),TRIM(LEFT(Tasks[[#This Row],[_Res3Text]],FIND("[",Tasks[[#This Row],[_Res3Text]]&amp;"[")-1))))</f>
        <v/>
      </c>
      <c r="DV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 s="42" t="n">
        <f aca="false">IF(OR(NOT(Tasks[[#This Row],[_IsLeaf]]=1),Tasks[[#This Row],[_Res3Row]]=0),0,N(Tasks[[#This Row],[_Days]])*HoursPerDay*IF(Tasks[[#This Row],[_Res3Units]]="",DefaultUnits,Tasks[[#This Row],[_Res3Units]]))</f>
        <v>0</v>
      </c>
      <c r="DX6" s="42" t="n">
        <f aca="false">IF(AND(AND(Tasks[[#This Row],[_IsLeaf]]=1,Tasks[[#This Row],[_LeafTotalWork]]&gt;0),Tasks[[#This Row],[_Res3Work]]&gt;0),Tasks[[#This Row],[_Res3Work]]/(Tasks[[#This Row],[_FinishWorkday]]-Tasks[[#This Row],[_StartWorkday]]+1),0)</f>
        <v>0</v>
      </c>
      <c r="DY6" s="42" t="n">
        <f aca="false">Tasks[[#This Row],[_Res3WorkPerWD]]*MAX(0,Tasks[[#This Row],[_StartWorkday]]-1)</f>
        <v>0</v>
      </c>
      <c r="DZ6" s="42" t="n">
        <f aca="false">Tasks[[#This Row],[_Res3Work]]*Tasks[[#This Row],[_LeafProgress]]</f>
        <v>0</v>
      </c>
      <c r="EA6" s="42" t="str">
        <f aca="false">IF(Tasks[[#This Row],[_Res4Text]]="","",IF(Tasks[[#This Row],[_Res4Row]]&gt;0,INDEX(res_Name,Tasks[[#This Row],[_Res4Row]]),TRIM(LEFT(Tasks[[#This Row],[_Res4Text]],FIND("[",Tasks[[#This Row],[_Res4Text]]&amp;"[")-1))))</f>
        <v/>
      </c>
      <c r="EB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 s="42" t="n">
        <f aca="false">IF(OR(NOT(Tasks[[#This Row],[_IsLeaf]]=1),Tasks[[#This Row],[_Res4Row]]=0),0,N(Tasks[[#This Row],[_Days]])*HoursPerDay*IF(Tasks[[#This Row],[_Res4Units]]="",DefaultUnits,Tasks[[#This Row],[_Res4Units]]))</f>
        <v>0</v>
      </c>
      <c r="ED6" s="42" t="n">
        <f aca="false">IF(AND(AND(Tasks[[#This Row],[_IsLeaf]]=1,Tasks[[#This Row],[_LeafTotalWork]]&gt;0),Tasks[[#This Row],[_Res4Work]]&gt;0),Tasks[[#This Row],[_Res4Work]]/(Tasks[[#This Row],[_FinishWorkday]]-Tasks[[#This Row],[_StartWorkday]]+1),0)</f>
        <v>0</v>
      </c>
      <c r="EE6" s="42" t="n">
        <f aca="false">Tasks[[#This Row],[_Res4WorkPerWD]]*MAX(0,Tasks[[#This Row],[_StartWorkday]]-1)</f>
        <v>0</v>
      </c>
      <c r="EF6" s="42" t="n">
        <f aca="false">Tasks[[#This Row],[_Res4Work]]*Tasks[[#This Row],[_LeafProgress]]</f>
        <v>0</v>
      </c>
      <c r="EG6" s="42" t="n">
        <f aca="false">IF(ISNUMBER(Tasks[[#This Row],[% Complete]]),Tasks[[#This Row],[% Complete]],IF(Tasks[[#This Row],[Stage]]="",0,IFERROR(INDEX(stg_Pct,MATCH(Tasks[[#This Row],[Stage]],stg_Name,0)),0)))</f>
        <v>0</v>
      </c>
      <c r="EH6" s="42" t="n">
        <f aca="false">IF(NOT(Tasks[[#This Row],[_IsLeaf]]=1),0,IF(N(Tasks[[#This Row],[Actual Finish]])&gt;0,1,MIN(1,Tasks[[#This Row],[_Pct]])))</f>
        <v>0</v>
      </c>
      <c r="EI6" s="42" t="n">
        <f aca="false">IF(OR(NOT(Tasks[[#This Row],[_IsLeaf]]=1),Tasks[[#This Row],[_Res1Row]]=0),0,N(Tasks[[#This Row],[_Days]])*HoursPerDay*IF(Tasks[[#This Row],[_Units1]]="",DefaultUnits,Tasks[[#This Row],[_Units1]]))</f>
        <v>0</v>
      </c>
      <c r="EJ6" s="42" t="n">
        <f aca="false">Tasks[[#This Row],[_LeafWork]]+Tasks[[#This Row],[_Res2Work]]+Tasks[[#This Row],[_Res3Work]]+Tasks[[#This Row],[_Res4Work]]</f>
        <v>0</v>
      </c>
      <c r="EK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 s="42" t="n">
        <f aca="false">IF(NOT(Tasks[[#This Row],[_IsLeaf]]=1),0,MAX(_xlfn.MAXIFS(Tasks[_Row],Tasks[_Pred1UID],Tasks[[#This Row],[UID]]),_xlfn.MAXIFS(Tasks[_Row],Tasks[_Pred2UID],Tasks[[#This Row],[UID]]),_xlfn.MAXIFS(Tasks[_Row],Tasks[_Pred3UID],Tasks[[#This Row],[UID]]),_xlfn.MAXIFS(Tasks[_Row],Tasks[_Pred4UID],Tasks[[#This Row],[UID]])))</f>
        <v>0</v>
      </c>
      <c r="ET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 s="89" t="str">
        <f aca="false">IF(NOT(Tasks[[#This Row],[_IsLeaf]]=1),"",IF(N(Tasks[[#This Row],[_Days]])&lt;=0,Tasks[[#This Row],[_LeafLateFinish]],WORKDAY.INTL(Tasks[[#This Row],[_LeafLateFinish]],-(Tasks[[#This Row],[_Days]]-1),WorkWeek,Holidays)))</f>
        <v/>
      </c>
      <c r="EW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 s="88" t="b">
        <f aca="false">AND(Tasks[[#This Row],[_IsLeaf]]=1,Tasks[[#This Row],[_LeafProgress]]&lt;1,N(Tasks[[#This Row],[_LeafTotalSlack]])&lt;=CriticalSlackDays)</f>
        <v>0</v>
      </c>
      <c r="EY6" s="42" t="n">
        <f aca="false">IF(AND(Tasks[[#This Row],[_IsLeaf]]=1,Tasks[[#This Row],[_ConstraintCode]]=1,Tasks[[#This Row],[Mode]]&lt;&gt;"Manual",N(Tasks[[#This Row],[Actual Start]])=0),MAX(0,N(Tasks[[#This Row],[Free Slack]])),0)</f>
        <v>0</v>
      </c>
      <c r="EZ6" s="89" t="str">
        <f aca="false">IF(NOT(Tasks[[#This Row],[_IsLeaf]]=1),"",IF(Tasks[[#This Row],[_AlapShift]]=0,Tasks[[#This Row],[_LeafCalcStart]],WORKDAY.INTL(Tasks[[#This Row],[_LeafCalcStart]],Tasks[[#This Row],[_AlapShift]],WorkWeek,Holidays)))</f>
        <v/>
      </c>
      <c r="FA6" s="89" t="str">
        <f aca="false">IF(NOT(Tasks[[#This Row],[_IsLeaf]]=1),"",IF(Tasks[[#This Row],[_AlapShift]]=0,Tasks[[#This Row],[_LeafCalcFinish]],WORKDAY.INTL(Tasks[[#This Row],[_LeafCalcFinish]],Tasks[[#This Row],[_AlapShift]],WorkWeek,Holidays)))</f>
        <v/>
      </c>
      <c r="FB6" s="89" t="str">
        <f aca="false">IF(NOT(Tasks[[#This Row],[_IsLeaf]]=1),"",IF(Tasks[[#This Row],[_AlapShift]]=0,Tasks[[#This Row],[_LeafFcstStart]],WORKDAY.INTL(Tasks[[#This Row],[_LeafFcstStart]],Tasks[[#This Row],[_AlapShift]],WorkWeek,Holidays)))</f>
        <v/>
      </c>
      <c r="FC6" s="89" t="str">
        <f aca="false">IF(NOT(Tasks[[#This Row],[_IsLeaf]]=1),"",IF(Tasks[[#This Row],[_AlapShift]]=0,Tasks[[#This Row],[_LeafFcstFinish]],WORKDAY.INTL(Tasks[[#This Row],[_LeafFcstFinish]],Tasks[[#This Row],[_AlapShift]],WorkWeek,Holidays)))</f>
        <v/>
      </c>
      <c r="FD6" s="89" t="n">
        <f aca="false">IF(Tasks[[#This Row],[Task Name]]="","",IF(Tasks[[#This Row],[_IsSummary]],MIN(INDEX(Tasks[_ShownCalcStart],Tasks[[#This Row],[_Row]]+1):INDEX(Tasks[_ShownCalcStart],Tasks[[#This Row],[_Row]]+Tasks[[#This Row],[_Descendants]])),Tasks[[#This Row],[_ShownCalcStart]]))</f>
        <v>46272</v>
      </c>
      <c r="FE6" s="89" t="n">
        <f aca="false">IF(Tasks[[#This Row],[Task Name]]="","",IF(Tasks[[#This Row],[_IsSummary]],MAX(INDEX(Tasks[_ShownCalcFinish],Tasks[[#This Row],[_Row]]+1):INDEX(Tasks[_ShownCalcFinish],Tasks[[#This Row],[_Row]]+Tasks[[#This Row],[_Descendants]])),Tasks[[#This Row],[_ShownCalcFinish]]))</f>
        <v>46276</v>
      </c>
      <c r="FF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 s="42" t="n">
        <f aca="false">IF(AND(Tasks[[#This Row],[_IsLeaf]]=1,Tasks[[#This Row],[_LeafTotalWork]]&gt;0),NETWORKDAYS.INTL(ProjectStart,Tasks[[#This Row],[_ShownFcstStart]],WorkWeek,Holidays),0)</f>
        <v>0</v>
      </c>
      <c r="FS6" s="42" t="n">
        <f aca="false">IF(AND(Tasks[[#This Row],[_IsLeaf]]=1,Tasks[[#This Row],[_LeafTotalWork]]&gt;0),MAX(Tasks[[#This Row],[_StartWorkday]],NETWORKDAYS.INTL(ProjectStart,Tasks[[#This Row],[_ShownFcstFinish]],WorkWeek,Holidays)),0)</f>
        <v>0</v>
      </c>
      <c r="FT6" s="42" t="n">
        <f aca="false">IF(AND(Tasks[[#This Row],[_IsLeaf]]=1,Tasks[[#This Row],[_LeafTotalWork]]&gt;0),Tasks[[#This Row],[_LeafWork]]/(Tasks[[#This Row],[_FinishWorkday]]-Tasks[[#This Row],[_StartWorkday]]+1),0)</f>
        <v>0</v>
      </c>
      <c r="FU6" s="42" t="n">
        <f aca="false">Tasks[[#This Row],[_WorkPerWorkday]]*(Tasks[[#This Row],[_StartWorkday]]-1)</f>
        <v>-0</v>
      </c>
      <c r="FV6" s="42" t="n">
        <f aca="false">IF(Tasks[[#This Row],[_IsLeaf]]=1,MAX(N(Tasks[[#This Row],[_Days]]),0.1),0)</f>
        <v>0</v>
      </c>
      <c r="FW6" s="42" t="n">
        <f aca="false">Tasks[[#This Row],[_WeightDur]]*Tasks[[#This Row],[_LeafProgress]]</f>
        <v>0</v>
      </c>
      <c r="FX6" s="42" t="n">
        <f aca="false">Tasks[[#This Row],[_WeightDur]]*Tasks[[#This Row],[_PlannedPct]]</f>
        <v>0</v>
      </c>
      <c r="FY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 s="42" t="str">
        <f aca="false">IF(AND(Tasks[[#This Row],[_IsLeaf]]=1,N(Tasks[[#This Row],[_Days]])=0,Tasks[[#This Row],[_LeafProgress]]&lt;1),Tasks[[#This Row],[_ShownFcstFinish]]+Tasks[[#This Row],[_Row]]/100000,"")</f>
        <v/>
      </c>
      <c r="GA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 s="42" t="str">
        <f aca="false">IF(Tasks[[#This Row],[Task Name]]="","",LEFT(Tasks[[#This Row],[WBS]],FIND(".",Tasks[[#This Row],[WBS]]&amp;".")-1))</f>
        <v>1</v>
      </c>
      <c r="GC6" s="42" t="n">
        <f aca="false">IF(AND(Tasks[[#This Row],[Task Name]]&lt;&gt;"",Tasks[[#This Row],[_Level]]=1),Tasks[[#This Row],[_Row]],"")</f>
        <v>1</v>
      </c>
      <c r="GD6" s="42" t="str">
        <f aca="false">IF(AND(Tasks[[#This Row],[_IsLeaf]]=1,N(Tasks[[#This Row],[_Days]])=0),Tasks[[#This Row],[Planned Finish]]+Tasks[[#This Row],[_Row]]/100000,"")</f>
        <v/>
      </c>
      <c r="GE6" s="42" t="str">
        <f aca="false">IF(AND(Tasks[[#This Row],[_IsLeaf]]=1,Tasks[[#This Row],[_LeafProgress]]&lt;1,OR(N(Tasks[[#This Row],[Finish Var]])&gt;0,Tasks[[#This Row],[Status]]="Late Start")),MAX(0,Tasks[[#This Row],[Finish Var]])+1-Tasks[[#This Row],[_Row]]/1000000,"")</f>
        <v/>
      </c>
      <c r="GF6" s="42" t="str">
        <f aca="false">IF(AND(Tasks[[#This Row],[_IsLeaf]]=1,N(Tasks[[#This Row],[Actual Start]])=0,Tasks[[#This Row],[_ShownFcstStart]]&gt;=StatusDate,Tasks[[#This Row],[_ShownFcstStart]]&lt;=LookaheadEnd),Tasks[[#This Row],[_ShownFcstStart]]+Tasks[[#This Row],[_Row]]/100000,"")</f>
        <v/>
      </c>
      <c r="GG6" s="42" t="str">
        <f aca="false">IF(AND(Tasks[[#This Row],[_IsLeaf]]=1,Tasks[[#This Row],[_LeafProgress]]&lt;1,Tasks[[#This Row],[_ShownFcstFinish]]&gt;=StatusDate,Tasks[[#This Row],[_ShownFcstFinish]]&lt;=LookaheadEnd),Tasks[[#This Row],[_ShownFcstFinish]]+Tasks[[#This Row],[_Row]]/100000,"")</f>
        <v/>
      </c>
      <c r="GH6" s="42" t="str">
        <f aca="false">IF(Tasks[[#This Row],[_LeafCritical]],Tasks[[#This Row],[_ShownFcstStart]]+Tasks[[#This Row],[_Row]]/100000,"")</f>
        <v/>
      </c>
      <c r="GI6" s="42" t="n">
        <f aca="false">Tasks[[#This Row],[_LeafWork]]*Tasks[[#This Row],[_LeafProgress]]</f>
        <v>0</v>
      </c>
      <c r="GJ6" s="89" t="str">
        <f aca="false">IF(AND(Tasks[[#This Row],[_IsLeaf]]=1,Tasks[[#This Row],[_LeafProgress]]&gt;=1),IF(N(Tasks[[#This Row],[Actual Finish]])&gt;0,Tasks[[#This Row],[Actual Finish]],Tasks[[#This Row],[_ShownFcstFinish]]),"")</f>
        <v/>
      </c>
      <c r="GK6" s="42" t="n">
        <f aca="false">IF(Tasks[[#This Row],[_IsLeaf]]=1,N(Tasks[[#This Row],[Story Points]]),0)</f>
        <v>0</v>
      </c>
      <c r="GL6" s="42" t="str">
        <f aca="false">""</f>
        <v/>
      </c>
      <c r="GM6" s="88" t="b">
        <f aca="false">IF(Tasks[[#This Row],[Task Name]]="",FALSE(),AND(Tasks[[#This Row],[_IsLeaf]]=1,N(Tasks[[#This Row],[_Days]])=0))</f>
        <v>0</v>
      </c>
      <c r="GN6" s="89" t="n">
        <f aca="false">IF(Tasks[[#This Row],[Task Name]]="",0,IF(AND(Tasks[[#This Row],[_IsLeaf]]=1,NOT(Tasks[[#This Row],[_IsMilestone]]),N(Tasks[[#This Row],[Progress]])&gt;0),Tasks[[#This Row],[Start]],0))</f>
        <v>0</v>
      </c>
      <c r="GO6" s="89" t="n">
        <f aca="false">IF(Tasks[[#This Row],[_DoneFrom]]=0,0,IF(Tasks[[#This Row],[Progress]]&gt;=1,Tasks[[#This Row],[Finish]],MAX(Tasks[[#This Row],[_DoneFrom]],Tasks[[#This Row],[Start]]+ROUND((Tasks[[#This Row],[Finish]]-Tasks[[#This Row],[Start]]+1)*Tasks[[#This Row],[Progress]],0)-1)))</f>
        <v>0</v>
      </c>
      <c r="GP6" s="89" t="n">
        <f aca="false">IF(Tasks[[#This Row],[Task Name]]="",0,IF(OR(NOT(Tasks[[#This Row],[_IsLeaf]]=1),Tasks[[#This Row],[_IsMilestone]],N(Tasks[[#This Row],[Progress]])&gt;=1),0,IF(Tasks[[#This Row],[_DoneTo]]&gt;0,Tasks[[#This Row],[_DoneTo]]+1,Tasks[[#This Row],[Start]])))</f>
        <v>0</v>
      </c>
      <c r="GQ6" s="89" t="n">
        <f aca="false">IF(Tasks[[#This Row],[_RemFrom]]=0,0,Tasks[[#This Row],[Finish]])</f>
        <v>0</v>
      </c>
      <c r="GR6" s="88" t="b">
        <f aca="false">IF(Tasks[[#This Row],[Task Name]]="",FALSE(),OR(NOT(BaselineSet),N(Tasks[[#This Row],[Baseline Start]])&gt;0))</f>
        <v>1</v>
      </c>
      <c r="GS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 s="90" t="str">
        <f aca="false">IF(Tasks[[#This Row],[_IsLeaf]]=1,Tasks[[#This Row],[_Row]],"")</f>
        <v/>
      </c>
      <c r="GW6" s="90" t="str">
        <f aca="false">IFERROR(INDEX(Tasks[UID],SMALL(Tasks[_PickKey],Tasks[[#This Row],[_Row]]))&amp;" "&amp;INDEX(Tasks[Task Name],SMALL(Tasks[_PickKey],Tasks[[#This Row],[_Row]])),"")</f>
        <v>2 Project charter &amp; scope statement</v>
      </c>
      <c r="GX6" s="42" t="n">
        <f aca="false">IF(Tasks[[#This Row],[Task Name]]="","",IF(Tasks[[#This Row],[_IsSummary]],NETWORKDAYS.INTL(Tasks[[#This Row],[Start]],Tasks[[#This Row],[Finish]],WorkWeek,Holidays),N(Tasks[[#This Row],[_Days]])))</f>
        <v>6</v>
      </c>
    </row>
    <row r="7" customFormat="false" ht="15" hidden="false" customHeight="false" outlineLevel="1" collapsed="false">
      <c r="A7" s="21" t="n">
        <f aca="false">IF(Tasks[[#This Row],[Task Name]]="","",COUNTA(Tasks[[#Headers],[Task Name]]:Tasks[[#This Row],[Task Name]])-1)</f>
        <v>2</v>
      </c>
      <c r="B7" s="22" t="n">
        <v>2</v>
      </c>
      <c r="C7" s="22" t="n">
        <v>2</v>
      </c>
      <c r="D7" s="91" t="s">
        <v>610</v>
      </c>
      <c r="E7" s="22" t="n">
        <v>3</v>
      </c>
      <c r="F7" s="23"/>
      <c r="G7" s="22"/>
      <c r="H7" s="22"/>
      <c r="I7" s="23"/>
      <c r="J7" s="22"/>
      <c r="K7" s="22"/>
      <c r="L7" s="23"/>
      <c r="M7" s="22"/>
      <c r="N7" s="22"/>
      <c r="O7" s="23"/>
      <c r="P7" s="22"/>
      <c r="Q7" s="22"/>
      <c r="R7" s="23"/>
      <c r="S7" s="23" t="s">
        <v>6</v>
      </c>
      <c r="T7" s="83"/>
      <c r="U7" s="23"/>
      <c r="V7" s="83"/>
      <c r="W7" s="23"/>
      <c r="X7" s="83"/>
      <c r="Y7" s="23"/>
      <c r="Z7" s="83"/>
      <c r="AA7" s="23"/>
      <c r="AB7" s="23" t="s">
        <v>139</v>
      </c>
      <c r="AC7" s="7" t="n">
        <v>46272</v>
      </c>
      <c r="AD7" s="7" t="n">
        <v>46275</v>
      </c>
      <c r="AE7" s="62" t="n">
        <f aca="false">IF(Tasks[[#This Row],[Task Name]]="","",IF(Tasks[[#This Row],[_IsSummary]],MIN(INDEX(Tasks[_ShownFcstStart],Tasks[[#This Row],[_Row]]+1):INDEX(Tasks[_ShownFcstStart],Tasks[[#This Row],[_Row]]+Tasks[[#This Row],[_Descendants]])),Tasks[[#This Row],[_ShownFcstStart]]))</f>
        <v>46272</v>
      </c>
      <c r="AF7" s="62" t="n">
        <f aca="false">IF(Tasks[[#This Row],[Task Name]]="","",IF(Tasks[[#This Row],[_IsSummary]],MAX(INDEX(Tasks[_ShownFcstFinish],Tasks[[#This Row],[_Row]]+1):INDEX(Tasks[_ShownFcstFinish],Tasks[[#This Row],[_Row]]+Tasks[[#This Row],[_Descendants]])),Tasks[[#This Row],[_ShownFcstFinish]]))</f>
        <v>46275</v>
      </c>
      <c r="AG7" s="21" t="str">
        <f aca="false">""</f>
        <v/>
      </c>
      <c r="AH7" s="23" t="s">
        <v>611</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 s="7"/>
      <c r="AK7" s="22" t="s">
        <v>235</v>
      </c>
      <c r="AL7" s="23"/>
      <c r="AM7" s="7"/>
      <c r="AN7" s="46"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2" t="n">
        <f aca="false">IF(Tasks[[#This Row],[Task Name]]="","",IF(N(Tasks[[#This Row],[Baseline Start]])&gt;0,Tasks[[#This Row],[Baseline Start]],Tasks[[#This Row],[_CalcStart]]))</f>
        <v>46272</v>
      </c>
      <c r="AR7" s="62" t="n">
        <f aca="false">IF(Tasks[[#This Row],[Task Name]]="","",IF(N(Tasks[[#This Row],[Baseline Finish]])&gt;0,Tasks[[#This Row],[Baseline Finish]],Tasks[[#This Row],[_CalcFinish]]))</f>
        <v>46274</v>
      </c>
      <c r="AS7" s="46" t="n">
        <f aca="false">IF(Tasks[[#This Row],[Task Name]]="","",IF(Tasks[[#This Row],[Start]]&gt;=Tasks[[#This Row],[Planned Start]],NETWORKDAYS.INTL(Tasks[[#This Row],[Planned Start]],Tasks[[#This Row],[Start]],WorkWeek,Holidays)-1,1-NETWORKDAYS.INTL(Tasks[[#This Row],[Start]],Tasks[[#This Row],[Planned Start]],WorkWeek,Holidays)))</f>
        <v>0</v>
      </c>
      <c r="AT7" s="62" t="n">
        <f aca="false">IF(Tasks[[#This Row],[Task Name]]="","",IF(Tasks[[#This Row],[_IsSummary]],MIN(INDEX(Tasks[_LeafLateStart],Tasks[[#This Row],[_Row]]+1):INDEX(Tasks[_LeafLateStart],Tasks[[#This Row],[_Row]]+Tasks[[#This Row],[_Descendants]])),Tasks[[#This Row],[_LeafLateStart]]))</f>
        <v>46276</v>
      </c>
      <c r="AU7" s="62" t="n">
        <f aca="false">IF(Tasks[[#This Row],[Task Name]]="","",IF(Tasks[[#This Row],[_IsSummary]],MAX(INDEX(Tasks[_LeafLateFinish],Tasks[[#This Row],[_Row]]+1):INDEX(Tasks[_LeafLateFinish],Tasks[[#This Row],[_Row]]+Tasks[[#This Row],[_Descendants]])),Tasks[[#This Row],[_LeafLateFinish]]))</f>
        <v>46280</v>
      </c>
      <c r="AV7" s="46"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4"/>
      <c r="BA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5"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6"/>
      <c r="BJ7" s="22"/>
      <c r="BK7" s="46" t="n">
        <f aca="false">IF(OR(Tasks[[#This Row],[Task Name]]="",Tasks[[#This Row],[Baseline Duration]]=""),"",Tasks[[#This Row],[_SpanDays]]-N(Tasks[[#This Row],[Baseline Duration]]))</f>
        <v>0</v>
      </c>
      <c r="BL7" s="85" t="n">
        <f aca="false">IF(OR(Tasks[[#This Row],[Task Name]]="",Tasks[[#This Row],[Baseline Work]]=""),"",Tasks[[#This Row],[Work]]-N(Tasks[[#This Row],[Baseline Work]]))</f>
        <v>0</v>
      </c>
      <c r="BM7" s="62" t="n">
        <f aca="false">IF(Tasks[[#This Row],[Task Name]]="","",IF(OR(TakeBaseline="Yes",N(Tasks[[#This Row],[Baseline Start]])=0),Tasks[[#This Row],[Start]],Tasks[[#This Row],[Baseline Start]]))</f>
        <v>46272</v>
      </c>
      <c r="BN7" s="62"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5" t="n">
        <f aca="false">IF(Tasks[[#This Row],[Task Name]]="","",IF(OR(TakeBaseline="Yes",N(Tasks[[#This Row],[Baseline Work]])=0),Tasks[[#This Row],[Work]],Tasks[[#This Row],[Baseline Work]]))</f>
        <v>24</v>
      </c>
      <c r="BQ7" s="7" t="n">
        <v>46272</v>
      </c>
      <c r="BR7" s="7" t="n">
        <v>46274</v>
      </c>
      <c r="BS7" s="22" t="n">
        <v>3</v>
      </c>
      <c r="BT7" s="87" t="n">
        <v>24</v>
      </c>
      <c r="BU7" s="42" t="n">
        <f aca="false">IF(Tasks[[#This Row],[Task Name]]="","",MAX(1,N(Tasks[[#This Row],[Level]])))</f>
        <v>2</v>
      </c>
      <c r="BV7" s="42" t="n">
        <f aca="false">ROW()-ROW(Tasks[[#Headers],[ID]])</f>
        <v>2</v>
      </c>
      <c r="BW7" s="42" t="n">
        <f aca="false">IF(OR(Tasks[[#This Row],[Task Name]]="",Tasks[[#This Row],[_Level]]&lt;=1),0,IFERROR(LOOKUP(2,1/(Tasks[[#Headers],[_Level]]:Tasks[[#This Row],[_Level]]=Tasks[[#This Row],[_Level]]-1),ROW(Tasks[[#Headers],[_Level]]:Tasks[[#This Row],[_Level]])),0))</f>
        <v>6</v>
      </c>
      <c r="BX7" s="42" t="n">
        <f aca="false">IFERROR(N(INDEX(Tasks[_Level],Tasks[[#This Row],[_Row]]+1)),0)</f>
        <v>2</v>
      </c>
      <c r="BY7" s="88" t="b">
        <f aca="false">AND(Tasks[[#This Row],[Task Name]]&lt;&gt;"",Tasks[[#This Row],[_NextLevel]]&gt;Tasks[[#This Row],[_Level]])</f>
        <v>0</v>
      </c>
      <c r="BZ7" s="42" t="n">
        <f aca="false">IF(Tasks[[#This Row],[_IsSummary]],COUNTIF(Tasks[WBS],Tasks[[#This Row],[WBS]]&amp;".*"),0)</f>
        <v>0</v>
      </c>
      <c r="CA7" s="42" t="n">
        <f aca="false">IF(AND(Tasks[[#This Row],[Task Name]]&lt;&gt;"",NOT(Tasks[[#This Row],[_IsSummary]])),1,0)</f>
        <v>1</v>
      </c>
      <c r="CB7" s="42" t="n">
        <f aca="false">IF(N(Tasks[[#This Row],[_Pred1UID]])=0,0,IFERROR(MATCH(Tasks[[#This Row],[_Pred1UID]],Tasks[UID],0),-1))</f>
        <v>0</v>
      </c>
      <c r="CC7" s="42" t="n">
        <f aca="false">IF(N(Tasks[[#This Row],[_Pred2UID]])=0,0,IFERROR(MATCH(Tasks[[#This Row],[_Pred2UID]],Tasks[UID],0),-1))</f>
        <v>0</v>
      </c>
      <c r="CD7" s="42" t="n">
        <f aca="false">IF(N(Tasks[[#This Row],[_Pred3UID]])=0,0,IFERROR(MATCH(Tasks[[#This Row],[_Pred3UID]],Tasks[UID],0),-1))</f>
        <v>0</v>
      </c>
      <c r="CE7" s="42" t="n">
        <f aca="false">IF(N(Tasks[[#This Row],[_Pred4UID]])=0,0,IFERROR(MATCH(Tasks[[#This Row],[_Pred4UID]],Tasks[UID],0),-1))</f>
        <v>0</v>
      </c>
      <c r="CF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 s="89" t="n">
        <f aca="false">IF(OR(Tasks[[#This Row],[_ConstraintCode]]=2,Tasks[[#This Row],[_ConstraintCode]]=3,Tasks[[#This Row],[_ConstraintCode]]=4,Tasks[[#This Row],[_ConstraintCode]]=6),Tasks[[#This Row],[_ConstraintStart]],0)</f>
        <v>0</v>
      </c>
      <c r="CI7" s="89" t="n">
        <f aca="false">IF(OR(Tasks[[#This Row],[_ConstraintCode]]=2,Tasks[[#This Row],[_ConstraintCode]]=3,Tasks[[#This Row],[_ConstraintCode]]=5,Tasks[[#This Row],[_ConstraintCode]]=7),Tasks[[#This Row],[_ConstraintStart]],2958465)</f>
        <v>2958465</v>
      </c>
      <c r="CJ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K7" s="89" t="n">
        <f aca="false">IF(NOT(Tasks[[#This Row],[_IsLeaf]]=1),"",IF(N(Tasks[[#This Row],[_Days]])&lt;=0,Tasks[[#This Row],[_LeafCalcStart]],WORKDAY.INTL(Tasks[[#This Row],[_LeafCalcStart]],Tasks[[#This Row],[_Days]]-1,WorkWeek,Holidays)))</f>
        <v>46274</v>
      </c>
      <c r="CL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M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N7" s="42" t="str">
        <f aca="false">IF(Tasks[[#This Row],[_Predecessors]]="","",TRIM(MID(SUBSTITUTE(SUBSTITUTE(SUBSTITUTE(UPPER(Tasks[[#This Row],[_Predecessors]]),";",",")," ",""),",",REPT(" ",99)),1,99)))</f>
        <v/>
      </c>
      <c r="CO7" s="42" t="str">
        <f aca="false">IF(Tasks[[#This Row],[_Pred1Text]]="","",IFERROR(VALUE(LEFT(Tasks[[#This Row],[_Pred1Text]],MIN(FIND("F",Tasks[[#This Row],[_Pred1Text]]&amp;"F"),FIND("S",Tasks[[#This Row],[_Pred1Text]]&amp;"S"),FIND("+",Tasks[[#This Row],[_Pred1Text]]&amp;"+"),FIND("-",Tasks[[#This Row],[_Pred1Text]]&amp;"-"))-1)),""))</f>
        <v/>
      </c>
      <c r="CP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 s="42" t="str">
        <f aca="false">IF(Tasks[[#This Row],[_Pred1Text]]="","",TRIM(MID(SUBSTITUTE(SUBSTITUTE(SUBSTITUTE(UPPER(Tasks[[#This Row],[_Predecessors]]),";",",")," ",""),",",REPT(" ",99)),100,99)))</f>
        <v/>
      </c>
      <c r="CS7" s="42" t="str">
        <f aca="false">IF(Tasks[[#This Row],[_Pred2Text]]="","",IFERROR(VALUE(LEFT(Tasks[[#This Row],[_Pred2Text]],MIN(FIND("F",Tasks[[#This Row],[_Pred2Text]]&amp;"F"),FIND("S",Tasks[[#This Row],[_Pred2Text]]&amp;"S"),FIND("+",Tasks[[#This Row],[_Pred2Text]]&amp;"+"),FIND("-",Tasks[[#This Row],[_Pred2Text]]&amp;"-"))-1)),""))</f>
        <v/>
      </c>
      <c r="CT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 s="42" t="str">
        <f aca="false">IF(Tasks[[#This Row],[_Pred2Text]]="","",TRIM(MID(SUBSTITUTE(SUBSTITUTE(SUBSTITUTE(UPPER(Tasks[[#This Row],[_Predecessors]]),";",",")," ",""),",",REPT(" ",99)),199,99)))</f>
        <v/>
      </c>
      <c r="CW7" s="42" t="str">
        <f aca="false">IF(Tasks[[#This Row],[_Pred3Text]]="","",IFERROR(VALUE(LEFT(Tasks[[#This Row],[_Pred3Text]],MIN(FIND("F",Tasks[[#This Row],[_Pred3Text]]&amp;"F"),FIND("S",Tasks[[#This Row],[_Pred3Text]]&amp;"S"),FIND("+",Tasks[[#This Row],[_Pred3Text]]&amp;"+"),FIND("-",Tasks[[#This Row],[_Pred3Text]]&amp;"-"))-1)),""))</f>
        <v/>
      </c>
      <c r="CX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 s="42" t="str">
        <f aca="false">IF(Tasks[[#This Row],[_Pred3Text]]="","",TRIM(MID(SUBSTITUTE(SUBSTITUTE(SUBSTITUTE(UPPER(Tasks[[#This Row],[_Predecessors]]),";",",")," ",""),",",REPT(" ",99)),298,99)))</f>
        <v/>
      </c>
      <c r="DA7" s="42" t="str">
        <f aca="false">IF(Tasks[[#This Row],[_Pred4Text]]="","",IFERROR(VALUE(LEFT(Tasks[[#This Row],[_Pred4Text]],MIN(FIND("F",Tasks[[#This Row],[_Pred4Text]]&amp;"F"),FIND("S",Tasks[[#This Row],[_Pred4Text]]&amp;"S"),FIND("+",Tasks[[#This Row],[_Pred4Text]]&amp;"+"),FIND("-",Tasks[[#This Row],[_Pred4Text]]&amp;"-"))-1)),""))</f>
        <v/>
      </c>
      <c r="DB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 s="42" t="str">
        <f aca="false">IF(OR(Tasks[[#This Row],[Task Name]]="",Tasks[[#This Row],[_Resources]]=""),"",TRIM(MID(SUBSTITUTE(Tasks[[#This Row],[_Resources]],",",REPT(" ",99)),1,99)))</f>
        <v>Priya Sharma</v>
      </c>
      <c r="DE7" s="42" t="str">
        <f aca="false">IF(Tasks[[#This Row],[_Res1Text]]="","",TRIM(MID(SUBSTITUTE(Tasks[[#This Row],[_Resources]],",",REPT(" ",99)),100,99)))</f>
        <v/>
      </c>
      <c r="DF7" s="42" t="str">
        <f aca="false">IF(Tasks[[#This Row],[_Res2Text]]="","",TRIM(MID(SUBSTITUTE(Tasks[[#This Row],[_Resources]],",",REPT(" ",99)),199,99)))</f>
        <v/>
      </c>
      <c r="DG7" s="42" t="str">
        <f aca="false">IF(Tasks[[#This Row],[_Res3Text]]="","",TRIM(MID(SUBSTITUTE(Tasks[[#This Row],[_Resources]],",",REPT(" ",99)),298,99)))</f>
        <v/>
      </c>
      <c r="DH7" s="42" t="n">
        <f aca="false">IF(Tasks[[#This Row],[_Res1Text]]="",0,IFERROR(MATCH(TRIM(LEFT(Tasks[[#This Row],[_Res1Text]],FIND("[",Tasks[[#This Row],[_Res1Text]]&amp;"[")-1)),res_Name,0),IFERROR(MATCH(TRIM(LEFT(Tasks[[#This Row],[_Res1Text]],FIND("[",Tasks[[#This Row],[_Res1Text]]&amp;"[")-1)),res_Initials,0),0)))</f>
        <v>1</v>
      </c>
      <c r="DI7" s="42" t="n">
        <f aca="false">IF(Tasks[[#This Row],[_Res2Text]]="",0,IFERROR(MATCH(TRIM(LEFT(Tasks[[#This Row],[_Res2Text]],FIND("[",Tasks[[#This Row],[_Res2Text]]&amp;"[")-1)),res_Name,0),IFERROR(MATCH(TRIM(LEFT(Tasks[[#This Row],[_Res2Text]],FIND("[",Tasks[[#This Row],[_Res2Text]]&amp;"[")-1)),res_Initials,0),0)))</f>
        <v>0</v>
      </c>
      <c r="DJ7" s="42" t="n">
        <f aca="false">IF(Tasks[[#This Row],[_Res3Text]]="",0,IFERROR(MATCH(TRIM(LEFT(Tasks[[#This Row],[_Res3Text]],FIND("[",Tasks[[#This Row],[_Res3Text]]&amp;"[")-1)),res_Name,0),IFERROR(MATCH(TRIM(LEFT(Tasks[[#This Row],[_Res3Text]],FIND("[",Tasks[[#This Row],[_Res3Text]]&amp;"[")-1)),res_Initials,0),0)))</f>
        <v>0</v>
      </c>
      <c r="DK7" s="42" t="n">
        <f aca="false">IF(Tasks[[#This Row],[_Res4Text]]="",0,IFERROR(MATCH(TRIM(LEFT(Tasks[[#This Row],[_Res4Text]],FIND("[",Tasks[[#This Row],[_Res4Text]]&amp;"[")-1)),res_Name,0),IFERROR(MATCH(TRIM(LEFT(Tasks[[#This Row],[_Res4Text]],FIND("[",Tasks[[#This Row],[_Res4Text]]&amp;"[")-1)),res_Initials,0),0)))</f>
        <v>0</v>
      </c>
      <c r="DL7" s="42" t="str">
        <f aca="false">IF(Tasks[[#This Row],[_Res1Text]]="","",IF(Tasks[[#This Row],[_Res1Row]]&gt;0,INDEX(res_Name,Tasks[[#This Row],[_Res1Row]]),TRIM(LEFT(Tasks[[#This Row],[_Res1Text]],FIND("[",Tasks[[#This Row],[_Res1Text]]&amp;"[")-1))))</f>
        <v>Priya Sharma</v>
      </c>
      <c r="DM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 s="42" t="n">
        <f aca="false">IF(NOT(Tasks[[#This Row],[_IsLeaf]]=1),0,(Tasks[[#This Row],[_Resource1]]&lt;&gt;"")+(Tasks[[#This Row],[_Res2]]&lt;&gt;"")+(Tasks[[#This Row],[_Res3]]&lt;&gt;"")+(Tasks[[#This Row],[_Res4]]&lt;&gt;""))</f>
        <v>1</v>
      </c>
      <c r="DO7" s="42" t="str">
        <f aca="false">IF(Tasks[[#This Row],[_Res2Text]]="","",IF(Tasks[[#This Row],[_Res2Row]]&gt;0,INDEX(res_Name,Tasks[[#This Row],[_Res2Row]]),TRIM(LEFT(Tasks[[#This Row],[_Res2Text]],FIND("[",Tasks[[#This Row],[_Res2Text]]&amp;"[")-1))))</f>
        <v/>
      </c>
      <c r="DP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 s="42" t="n">
        <f aca="false">IF(OR(NOT(Tasks[[#This Row],[_IsLeaf]]=1),Tasks[[#This Row],[_Res2Row]]=0),0,N(Tasks[[#This Row],[_Days]])*HoursPerDay*IF(Tasks[[#This Row],[_Res2Units]]="",DefaultUnits,Tasks[[#This Row],[_Res2Units]]))</f>
        <v>0</v>
      </c>
      <c r="DR7" s="42" t="n">
        <f aca="false">IF(AND(AND(Tasks[[#This Row],[_IsLeaf]]=1,Tasks[[#This Row],[_LeafTotalWork]]&gt;0),Tasks[[#This Row],[_Res2Work]]&gt;0),Tasks[[#This Row],[_Res2Work]]/(Tasks[[#This Row],[_FinishWorkday]]-Tasks[[#This Row],[_StartWorkday]]+1),0)</f>
        <v>0</v>
      </c>
      <c r="DS7" s="42" t="n">
        <f aca="false">Tasks[[#This Row],[_Res2WorkPerWD]]*MAX(0,Tasks[[#This Row],[_StartWorkday]]-1)</f>
        <v>0</v>
      </c>
      <c r="DT7" s="42" t="n">
        <f aca="false">Tasks[[#This Row],[_Res2Work]]*Tasks[[#This Row],[_LeafProgress]]</f>
        <v>0</v>
      </c>
      <c r="DU7" s="42" t="str">
        <f aca="false">IF(Tasks[[#This Row],[_Res3Text]]="","",IF(Tasks[[#This Row],[_Res3Row]]&gt;0,INDEX(res_Name,Tasks[[#This Row],[_Res3Row]]),TRIM(LEFT(Tasks[[#This Row],[_Res3Text]],FIND("[",Tasks[[#This Row],[_Res3Text]]&amp;"[")-1))))</f>
        <v/>
      </c>
      <c r="DV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 s="42" t="n">
        <f aca="false">IF(OR(NOT(Tasks[[#This Row],[_IsLeaf]]=1),Tasks[[#This Row],[_Res3Row]]=0),0,N(Tasks[[#This Row],[_Days]])*HoursPerDay*IF(Tasks[[#This Row],[_Res3Units]]="",DefaultUnits,Tasks[[#This Row],[_Res3Units]]))</f>
        <v>0</v>
      </c>
      <c r="DX7" s="42" t="n">
        <f aca="false">IF(AND(AND(Tasks[[#This Row],[_IsLeaf]]=1,Tasks[[#This Row],[_LeafTotalWork]]&gt;0),Tasks[[#This Row],[_Res3Work]]&gt;0),Tasks[[#This Row],[_Res3Work]]/(Tasks[[#This Row],[_FinishWorkday]]-Tasks[[#This Row],[_StartWorkday]]+1),0)</f>
        <v>0</v>
      </c>
      <c r="DY7" s="42" t="n">
        <f aca="false">Tasks[[#This Row],[_Res3WorkPerWD]]*MAX(0,Tasks[[#This Row],[_StartWorkday]]-1)</f>
        <v>0</v>
      </c>
      <c r="DZ7" s="42" t="n">
        <f aca="false">Tasks[[#This Row],[_Res3Work]]*Tasks[[#This Row],[_LeafProgress]]</f>
        <v>0</v>
      </c>
      <c r="EA7" s="42" t="str">
        <f aca="false">IF(Tasks[[#This Row],[_Res4Text]]="","",IF(Tasks[[#This Row],[_Res4Row]]&gt;0,INDEX(res_Name,Tasks[[#This Row],[_Res4Row]]),TRIM(LEFT(Tasks[[#This Row],[_Res4Text]],FIND("[",Tasks[[#This Row],[_Res4Text]]&amp;"[")-1))))</f>
        <v/>
      </c>
      <c r="EB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 s="42" t="n">
        <f aca="false">IF(OR(NOT(Tasks[[#This Row],[_IsLeaf]]=1),Tasks[[#This Row],[_Res4Row]]=0),0,N(Tasks[[#This Row],[_Days]])*HoursPerDay*IF(Tasks[[#This Row],[_Res4Units]]="",DefaultUnits,Tasks[[#This Row],[_Res4Units]]))</f>
        <v>0</v>
      </c>
      <c r="ED7" s="42" t="n">
        <f aca="false">IF(AND(AND(Tasks[[#This Row],[_IsLeaf]]=1,Tasks[[#This Row],[_LeafTotalWork]]&gt;0),Tasks[[#This Row],[_Res4Work]]&gt;0),Tasks[[#This Row],[_Res4Work]]/(Tasks[[#This Row],[_FinishWorkday]]-Tasks[[#This Row],[_StartWorkday]]+1),0)</f>
        <v>0</v>
      </c>
      <c r="EE7" s="42" t="n">
        <f aca="false">Tasks[[#This Row],[_Res4WorkPerWD]]*MAX(0,Tasks[[#This Row],[_StartWorkday]]-1)</f>
        <v>0</v>
      </c>
      <c r="EF7" s="42" t="n">
        <f aca="false">Tasks[[#This Row],[_Res4Work]]*Tasks[[#This Row],[_LeafProgress]]</f>
        <v>0</v>
      </c>
      <c r="EG7" s="92" t="n">
        <f aca="false">IF(ISNUMBER(Tasks[[#This Row],[% Complete]]),Tasks[[#This Row],[% Complete]],IF(Tasks[[#This Row],[Stage]]="",0,IFERROR(INDEX(stg_Pct,MATCH(Tasks[[#This Row],[Stage]],stg_Name,0)),0)))</f>
        <v>1</v>
      </c>
      <c r="EH7" s="42" t="n">
        <f aca="false">IF(NOT(Tasks[[#This Row],[_IsLeaf]]=1),0,IF(N(Tasks[[#This Row],[Actual Finish]])&gt;0,1,MIN(1,Tasks[[#This Row],[_Pct]])))</f>
        <v>1</v>
      </c>
      <c r="EI7" s="42" t="n">
        <f aca="false">IF(OR(NOT(Tasks[[#This Row],[_IsLeaf]]=1),Tasks[[#This Row],[_Res1Row]]=0),0,N(Tasks[[#This Row],[_Days]])*HoursPerDay*IF(Tasks[[#This Row],[_Units1]]="",DefaultUnits,Tasks[[#This Row],[_Units1]]))</f>
        <v>24</v>
      </c>
      <c r="EJ7" s="42" t="n">
        <f aca="false">Tasks[[#This Row],[_LeafWork]]+Tasks[[#This Row],[_Res2Work]]+Tasks[[#This Row],[_Res3Work]]+Tasks[[#This Row],[_Res4Work]]</f>
        <v>24</v>
      </c>
      <c r="EK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 s="42" t="n">
        <f aca="false">IF(NOT(Tasks[[#This Row],[_IsLeaf]]=1),0,MAX(_xlfn.MAXIFS(Tasks[_Row],Tasks[_Pred1UID],Tasks[[#This Row],[UID]]),_xlfn.MAXIFS(Tasks[_Row],Tasks[_Pred2UID],Tasks[[#This Row],[UID]]),_xlfn.MAXIFS(Tasks[_Row],Tasks[_Pred3UID],Tasks[[#This Row],[UID]]),_xlfn.MAXIFS(Tasks[_Row],Tasks[_Pred4UID],Tasks[[#This Row],[UID]])))</f>
        <v>3</v>
      </c>
      <c r="ET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EU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EV7" s="89" t="n">
        <f aca="false">IF(NOT(Tasks[[#This Row],[_IsLeaf]]=1),"",IF(N(Tasks[[#This Row],[_Days]])&lt;=0,Tasks[[#This Row],[_LeafLateFinish]],WORKDAY.INTL(Tasks[[#This Row],[_LeafLateFinish]],-(Tasks[[#This Row],[_Days]]-1),WorkWeek,Holidays)))</f>
        <v>46276</v>
      </c>
      <c r="EW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7" s="88" t="b">
        <f aca="false">AND(Tasks[[#This Row],[_IsLeaf]]=1,Tasks[[#This Row],[_LeafProgress]]&lt;1,N(Tasks[[#This Row],[_LeafTotalSlack]])&lt;=CriticalSlackDays)</f>
        <v>0</v>
      </c>
      <c r="EY7" s="42" t="n">
        <f aca="false">IF(AND(Tasks[[#This Row],[_IsLeaf]]=1,Tasks[[#This Row],[_ConstraintCode]]=1,Tasks[[#This Row],[Mode]]&lt;&gt;"Manual",N(Tasks[[#This Row],[Actual Start]])=0),MAX(0,N(Tasks[[#This Row],[Free Slack]])),0)</f>
        <v>0</v>
      </c>
      <c r="EZ7" s="89" t="n">
        <f aca="false">IF(NOT(Tasks[[#This Row],[_IsLeaf]]=1),"",IF(Tasks[[#This Row],[_AlapShift]]=0,Tasks[[#This Row],[_LeafCalcStart]],WORKDAY.INTL(Tasks[[#This Row],[_LeafCalcStart]],Tasks[[#This Row],[_AlapShift]],WorkWeek,Holidays)))</f>
        <v>46272</v>
      </c>
      <c r="FA7" s="89" t="n">
        <f aca="false">IF(NOT(Tasks[[#This Row],[_IsLeaf]]=1),"",IF(Tasks[[#This Row],[_AlapShift]]=0,Tasks[[#This Row],[_LeafCalcFinish]],WORKDAY.INTL(Tasks[[#This Row],[_LeafCalcFinish]],Tasks[[#This Row],[_AlapShift]],WorkWeek,Holidays)))</f>
        <v>46274</v>
      </c>
      <c r="FB7" s="89" t="n">
        <f aca="false">IF(NOT(Tasks[[#This Row],[_IsLeaf]]=1),"",IF(Tasks[[#This Row],[_AlapShift]]=0,Tasks[[#This Row],[_LeafFcstStart]],WORKDAY.INTL(Tasks[[#This Row],[_LeafFcstStart]],Tasks[[#This Row],[_AlapShift]],WorkWeek,Holidays)))</f>
        <v>46272</v>
      </c>
      <c r="FC7" s="89" t="n">
        <f aca="false">IF(NOT(Tasks[[#This Row],[_IsLeaf]]=1),"",IF(Tasks[[#This Row],[_AlapShift]]=0,Tasks[[#This Row],[_LeafFcstFinish]],WORKDAY.INTL(Tasks[[#This Row],[_LeafFcstFinish]],Tasks[[#This Row],[_AlapShift]],WorkWeek,Holidays)))</f>
        <v>46275</v>
      </c>
      <c r="FD7" s="89" t="n">
        <f aca="false">IF(Tasks[[#This Row],[Task Name]]="","",IF(Tasks[[#This Row],[_IsSummary]],MIN(INDEX(Tasks[_ShownCalcStart],Tasks[[#This Row],[_Row]]+1):INDEX(Tasks[_ShownCalcStart],Tasks[[#This Row],[_Row]]+Tasks[[#This Row],[_Descendants]])),Tasks[[#This Row],[_ShownCalcStart]]))</f>
        <v>46272</v>
      </c>
      <c r="FE7" s="89" t="n">
        <f aca="false">IF(Tasks[[#This Row],[Task Name]]="","",IF(Tasks[[#This Row],[_IsSummary]],MAX(INDEX(Tasks[_ShownCalcFinish],Tasks[[#This Row],[_Row]]+1):INDEX(Tasks[_ShownCalcFinish],Tasks[[#This Row],[_Row]]+Tasks[[#This Row],[_Descendants]])),Tasks[[#This Row],[_ShownCalcFinish]]))</f>
        <v>46274</v>
      </c>
      <c r="FF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 s="42" t="n">
        <f aca="false">IF(AND(Tasks[[#This Row],[_IsLeaf]]=1,Tasks[[#This Row],[_LeafTotalWork]]&gt;0),NETWORKDAYS.INTL(ProjectStart,Tasks[[#This Row],[_ShownFcstStart]],WorkWeek,Holidays),0)</f>
        <v>1</v>
      </c>
      <c r="FS7" s="42" t="n">
        <f aca="false">IF(AND(Tasks[[#This Row],[_IsLeaf]]=1,Tasks[[#This Row],[_LeafTotalWork]]&gt;0),MAX(Tasks[[#This Row],[_StartWorkday]],NETWORKDAYS.INTL(ProjectStart,Tasks[[#This Row],[_ShownFcstFinish]],WorkWeek,Holidays)),0)</f>
        <v>4</v>
      </c>
      <c r="FT7" s="42" t="n">
        <f aca="false">IF(AND(Tasks[[#This Row],[_IsLeaf]]=1,Tasks[[#This Row],[_LeafTotalWork]]&gt;0),Tasks[[#This Row],[_LeafWork]]/(Tasks[[#This Row],[_FinishWorkday]]-Tasks[[#This Row],[_StartWorkday]]+1),0)</f>
        <v>6</v>
      </c>
      <c r="FU7" s="42" t="n">
        <f aca="false">Tasks[[#This Row],[_WorkPerWorkday]]*(Tasks[[#This Row],[_StartWorkday]]-1)</f>
        <v>0</v>
      </c>
      <c r="FV7" s="42" t="n">
        <f aca="false">IF(Tasks[[#This Row],[_IsLeaf]]=1,MAX(N(Tasks[[#This Row],[_Days]]),0.1),0)</f>
        <v>3</v>
      </c>
      <c r="FW7" s="42" t="n">
        <f aca="false">Tasks[[#This Row],[_WeightDur]]*Tasks[[#This Row],[_LeafProgress]]</f>
        <v>3</v>
      </c>
      <c r="FX7" s="42" t="n">
        <f aca="false">Tasks[[#This Row],[_WeightDur]]*Tasks[[#This Row],[_PlannedPct]]</f>
        <v>3</v>
      </c>
      <c r="FY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 s="42" t="str">
        <f aca="false">IF(AND(Tasks[[#This Row],[_IsLeaf]]=1,N(Tasks[[#This Row],[_Days]])=0,Tasks[[#This Row],[_LeafProgress]]&lt;1),Tasks[[#This Row],[_ShownFcstFinish]]+Tasks[[#This Row],[_Row]]/100000,"")</f>
        <v/>
      </c>
      <c r="GA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7" s="42" t="str">
        <f aca="false">IF(Tasks[[#This Row],[Task Name]]="","",LEFT(Tasks[[#This Row],[WBS]],FIND(".",Tasks[[#This Row],[WBS]]&amp;".")-1))</f>
        <v>1</v>
      </c>
      <c r="GC7" s="42" t="str">
        <f aca="false">IF(AND(Tasks[[#This Row],[Task Name]]&lt;&gt;"",Tasks[[#This Row],[_Level]]=1),Tasks[[#This Row],[_Row]],"")</f>
        <v/>
      </c>
      <c r="GD7" s="42" t="str">
        <f aca="false">IF(AND(Tasks[[#This Row],[_IsLeaf]]=1,N(Tasks[[#This Row],[_Days]])=0),Tasks[[#This Row],[Planned Finish]]+Tasks[[#This Row],[_Row]]/100000,"")</f>
        <v/>
      </c>
      <c r="GE7" s="42" t="str">
        <f aca="false">IF(AND(Tasks[[#This Row],[_IsLeaf]]=1,Tasks[[#This Row],[_LeafProgress]]&lt;1,OR(N(Tasks[[#This Row],[Finish Var]])&gt;0,Tasks[[#This Row],[Status]]="Late Start")),MAX(0,Tasks[[#This Row],[Finish Var]])+1-Tasks[[#This Row],[_Row]]/1000000,"")</f>
        <v/>
      </c>
      <c r="GF7" s="42" t="str">
        <f aca="false">IF(AND(Tasks[[#This Row],[_IsLeaf]]=1,N(Tasks[[#This Row],[Actual Start]])=0,Tasks[[#This Row],[_ShownFcstStart]]&gt;=StatusDate,Tasks[[#This Row],[_ShownFcstStart]]&lt;=LookaheadEnd),Tasks[[#This Row],[_ShownFcstStart]]+Tasks[[#This Row],[_Row]]/100000,"")</f>
        <v/>
      </c>
      <c r="GG7" s="42" t="str">
        <f aca="false">IF(AND(Tasks[[#This Row],[_IsLeaf]]=1,Tasks[[#This Row],[_LeafProgress]]&lt;1,Tasks[[#This Row],[_ShownFcstFinish]]&gt;=StatusDate,Tasks[[#This Row],[_ShownFcstFinish]]&lt;=LookaheadEnd),Tasks[[#This Row],[_ShownFcstFinish]]+Tasks[[#This Row],[_Row]]/100000,"")</f>
        <v/>
      </c>
      <c r="GH7" s="42" t="str">
        <f aca="false">IF(Tasks[[#This Row],[_LeafCritical]],Tasks[[#This Row],[_ShownFcstStart]]+Tasks[[#This Row],[_Row]]/100000,"")</f>
        <v/>
      </c>
      <c r="GI7" s="42" t="n">
        <f aca="false">Tasks[[#This Row],[_LeafWork]]*Tasks[[#This Row],[_LeafProgress]]</f>
        <v>24</v>
      </c>
      <c r="GJ7" s="89" t="n">
        <f aca="false">IF(AND(Tasks[[#This Row],[_IsLeaf]]=1,Tasks[[#This Row],[_LeafProgress]]&gt;=1),IF(N(Tasks[[#This Row],[Actual Finish]])&gt;0,Tasks[[#This Row],[Actual Finish]],Tasks[[#This Row],[_ShownFcstFinish]]),"")</f>
        <v>46275</v>
      </c>
      <c r="GK7" s="42" t="n">
        <f aca="false">IF(Tasks[[#This Row],[_IsLeaf]]=1,N(Tasks[[#This Row],[Story Points]]),0)</f>
        <v>0</v>
      </c>
      <c r="GL7" s="42" t="str">
        <f aca="false">""</f>
        <v/>
      </c>
      <c r="GM7" s="88" t="b">
        <f aca="false">IF(Tasks[[#This Row],[Task Name]]="",FALSE(),AND(Tasks[[#This Row],[_IsLeaf]]=1,N(Tasks[[#This Row],[_Days]])=0))</f>
        <v>0</v>
      </c>
      <c r="GN7" s="89" t="n">
        <f aca="false">IF(Tasks[[#This Row],[Task Name]]="",0,IF(AND(Tasks[[#This Row],[_IsLeaf]]=1,NOT(Tasks[[#This Row],[_IsMilestone]]),N(Tasks[[#This Row],[Progress]])&gt;0),Tasks[[#This Row],[Start]],0))</f>
        <v>46272</v>
      </c>
      <c r="GO7" s="89" t="n">
        <f aca="false">IF(Tasks[[#This Row],[_DoneFrom]]=0,0,IF(Tasks[[#This Row],[Progress]]&gt;=1,Tasks[[#This Row],[Finish]],MAX(Tasks[[#This Row],[_DoneFrom]],Tasks[[#This Row],[Start]]+ROUND((Tasks[[#This Row],[Finish]]-Tasks[[#This Row],[Start]]+1)*Tasks[[#This Row],[Progress]],0)-1)))</f>
        <v>46275</v>
      </c>
      <c r="GP7" s="89" t="n">
        <f aca="false">IF(Tasks[[#This Row],[Task Name]]="",0,IF(OR(NOT(Tasks[[#This Row],[_IsLeaf]]=1),Tasks[[#This Row],[_IsMilestone]],N(Tasks[[#This Row],[Progress]])&gt;=1),0,IF(Tasks[[#This Row],[_DoneTo]]&gt;0,Tasks[[#This Row],[_DoneTo]]+1,Tasks[[#This Row],[Start]])))</f>
        <v>0</v>
      </c>
      <c r="GQ7" s="89" t="n">
        <f aca="false">IF(Tasks[[#This Row],[_RemFrom]]=0,0,Tasks[[#This Row],[Finish]])</f>
        <v>0</v>
      </c>
      <c r="GR7" s="88" t="b">
        <f aca="false">IF(Tasks[[#This Row],[Task Name]]="",FALSE(),OR(NOT(BaselineSet),N(Tasks[[#This Row],[Baseline Start]])&gt;0))</f>
        <v>1</v>
      </c>
      <c r="GS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GT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7" s="90" t="n">
        <f aca="false">IF(Tasks[[#This Row],[_IsLeaf]]=1,Tasks[[#This Row],[_Row]],"")</f>
        <v>2</v>
      </c>
      <c r="GW7" s="90" t="str">
        <f aca="false">IFERROR(INDEX(Tasks[UID],SMALL(Tasks[_PickKey],Tasks[[#This Row],[_Row]]))&amp;" "&amp;INDEX(Tasks[Task Name],SMALL(Tasks[_PickKey],Tasks[[#This Row],[_Row]])),"")</f>
        <v>3 Stakeholder kickoff workshop</v>
      </c>
      <c r="GX7" s="42" t="n">
        <f aca="false">IF(Tasks[[#This Row],[Task Name]]="","",IF(Tasks[[#This Row],[_IsSummary]],NETWORKDAYS.INTL(Tasks[[#This Row],[Start]],Tasks[[#This Row],[Finish]],WorkWeek,Holidays),N(Tasks[[#This Row],[_Days]])))</f>
        <v>3</v>
      </c>
    </row>
    <row r="8" customFormat="false" ht="15" hidden="false" customHeight="false" outlineLevel="1" collapsed="false">
      <c r="A8" s="21" t="n">
        <f aca="false">IF(Tasks[[#This Row],[Task Name]]="","",COUNTA(Tasks[[#Headers],[Task Name]]:Tasks[[#This Row],[Task Name]])-1)</f>
        <v>3</v>
      </c>
      <c r="B8" s="22" t="n">
        <v>3</v>
      </c>
      <c r="C8" s="22" t="n">
        <v>2</v>
      </c>
      <c r="D8" s="91" t="s">
        <v>612</v>
      </c>
      <c r="E8" s="22" t="n">
        <v>2</v>
      </c>
      <c r="F8" s="23" t="n">
        <v>2</v>
      </c>
      <c r="G8" s="22"/>
      <c r="H8" s="22"/>
      <c r="I8" s="23"/>
      <c r="J8" s="22"/>
      <c r="K8" s="22"/>
      <c r="L8" s="23"/>
      <c r="M8" s="22"/>
      <c r="N8" s="22"/>
      <c r="O8" s="23"/>
      <c r="P8" s="22"/>
      <c r="Q8" s="22"/>
      <c r="R8" s="23"/>
      <c r="S8" s="23" t="s">
        <v>613</v>
      </c>
      <c r="T8" s="83"/>
      <c r="U8" s="23"/>
      <c r="V8" s="83"/>
      <c r="W8" s="23"/>
      <c r="X8" s="83"/>
      <c r="Y8" s="23"/>
      <c r="Z8" s="83"/>
      <c r="AA8" s="23"/>
      <c r="AB8" s="23" t="s">
        <v>139</v>
      </c>
      <c r="AC8" s="7" t="n">
        <v>46276</v>
      </c>
      <c r="AD8" s="7" t="n">
        <v>46279</v>
      </c>
      <c r="AE8" s="62" t="n">
        <f aca="false">IF(Tasks[[#This Row],[Task Name]]="","",IF(Tasks[[#This Row],[_IsSummary]],MIN(INDEX(Tasks[_ShownFcstStart],Tasks[[#This Row],[_Row]]+1):INDEX(Tasks[_ShownFcstStart],Tasks[[#This Row],[_Row]]+Tasks[[#This Row],[_Descendants]])),Tasks[[#This Row],[_ShownFcstStart]]))</f>
        <v>46276</v>
      </c>
      <c r="AF8" s="62"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 s="7"/>
      <c r="AK8" s="22" t="s">
        <v>235</v>
      </c>
      <c r="AL8" s="23"/>
      <c r="AM8" s="7"/>
      <c r="AN8" s="46"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2" t="n">
        <f aca="false">IF(Tasks[[#This Row],[Task Name]]="","",IF(N(Tasks[[#This Row],[Baseline Start]])&gt;0,Tasks[[#This Row],[Baseline Start]],Tasks[[#This Row],[_CalcStart]]))</f>
        <v>46275</v>
      </c>
      <c r="AR8" s="62" t="n">
        <f aca="false">IF(Tasks[[#This Row],[Task Name]]="","",IF(N(Tasks[[#This Row],[Baseline Finish]])&gt;0,Tasks[[#This Row],[Baseline Finish]],Tasks[[#This Row],[_CalcFinish]]))</f>
        <v>46276</v>
      </c>
      <c r="AS8" s="46" t="n">
        <f aca="false">IF(Tasks[[#This Row],[Task Name]]="","",IF(Tasks[[#This Row],[Start]]&gt;=Tasks[[#This Row],[Planned Start]],NETWORKDAYS.INTL(Tasks[[#This Row],[Planned Start]],Tasks[[#This Row],[Start]],WorkWeek,Holidays)-1,1-NETWORKDAYS.INTL(Tasks[[#This Row],[Start]],Tasks[[#This Row],[Planned Start]],WorkWeek,Holidays)))</f>
        <v>1</v>
      </c>
      <c r="AT8" s="62" t="n">
        <f aca="false">IF(Tasks[[#This Row],[Task Name]]="","",IF(Tasks[[#This Row],[_IsSummary]],MIN(INDEX(Tasks[_LeafLateStart],Tasks[[#This Row],[_Row]]+1):INDEX(Tasks[_LeafLateStart],Tasks[[#This Row],[_Row]]+Tasks[[#This Row],[_Descendants]])),Tasks[[#This Row],[_LeafLateStart]]))</f>
        <v>46281</v>
      </c>
      <c r="AU8" s="62" t="n">
        <f aca="false">IF(Tasks[[#This Row],[Task Name]]="","",IF(Tasks[[#This Row],[_IsSummary]],MAX(INDEX(Tasks[_LeafLateFinish],Tasks[[#This Row],[_Row]]+1):INDEX(Tasks[_LeafLateFinish],Tasks[[#This Row],[_Row]]+Tasks[[#This Row],[_Descendants]])),Tasks[[#This Row],[_LeafLateFinish]]))</f>
        <v>46282</v>
      </c>
      <c r="AV8" s="46"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4"/>
      <c r="BA8"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5"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6"/>
      <c r="BJ8" s="22"/>
      <c r="BK8" s="46" t="n">
        <f aca="false">IF(OR(Tasks[[#This Row],[Task Name]]="",Tasks[[#This Row],[Baseline Duration]]=""),"",Tasks[[#This Row],[_SpanDays]]-N(Tasks[[#This Row],[Baseline Duration]]))</f>
        <v>0</v>
      </c>
      <c r="BL8" s="85" t="n">
        <f aca="false">IF(OR(Tasks[[#This Row],[Task Name]]="",Tasks[[#This Row],[Baseline Work]]=""),"",Tasks[[#This Row],[Work]]-N(Tasks[[#This Row],[Baseline Work]]))</f>
        <v>0</v>
      </c>
      <c r="BM8" s="62" t="n">
        <f aca="false">IF(Tasks[[#This Row],[Task Name]]="","",IF(OR(TakeBaseline="Yes",N(Tasks[[#This Row],[Baseline Start]])=0),Tasks[[#This Row],[Start]],Tasks[[#This Row],[Baseline Start]]))</f>
        <v>46275</v>
      </c>
      <c r="BN8" s="62"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5" t="n">
        <f aca="false">IF(Tasks[[#This Row],[Task Name]]="","",IF(OR(TakeBaseline="Yes",N(Tasks[[#This Row],[Baseline Work]])=0),Tasks[[#This Row],[Work]],Tasks[[#This Row],[Baseline Work]]))</f>
        <v>16</v>
      </c>
      <c r="BQ8" s="7" t="n">
        <v>46275</v>
      </c>
      <c r="BR8" s="7" t="n">
        <v>46276</v>
      </c>
      <c r="BS8" s="22" t="n">
        <v>2</v>
      </c>
      <c r="BT8" s="87" t="n">
        <v>16</v>
      </c>
      <c r="BU8" s="42" t="n">
        <f aca="false">IF(Tasks[[#This Row],[Task Name]]="","",MAX(1,N(Tasks[[#This Row],[Level]])))</f>
        <v>2</v>
      </c>
      <c r="BV8" s="42" t="n">
        <f aca="false">ROW()-ROW(Tasks[[#Headers],[ID]])</f>
        <v>3</v>
      </c>
      <c r="BW8" s="42" t="n">
        <f aca="false">IF(OR(Tasks[[#This Row],[Task Name]]="",Tasks[[#This Row],[_Level]]&lt;=1),0,IFERROR(LOOKUP(2,1/(Tasks[[#Headers],[_Level]]:Tasks[[#This Row],[_Level]]=Tasks[[#This Row],[_Level]]-1),ROW(Tasks[[#Headers],[_Level]]:Tasks[[#This Row],[_Level]])),0))</f>
        <v>6</v>
      </c>
      <c r="BX8" s="42" t="n">
        <f aca="false">IFERROR(N(INDEX(Tasks[_Level],Tasks[[#This Row],[_Row]]+1)),0)</f>
        <v>2</v>
      </c>
      <c r="BY8" s="88" t="b">
        <f aca="false">AND(Tasks[[#This Row],[Task Name]]&lt;&gt;"",Tasks[[#This Row],[_NextLevel]]&gt;Tasks[[#This Row],[_Level]])</f>
        <v>0</v>
      </c>
      <c r="BZ8" s="42" t="n">
        <f aca="false">IF(Tasks[[#This Row],[_IsSummary]],COUNTIF(Tasks[WBS],Tasks[[#This Row],[WBS]]&amp;".*"),0)</f>
        <v>0</v>
      </c>
      <c r="CA8" s="42" t="n">
        <f aca="false">IF(AND(Tasks[[#This Row],[Task Name]]&lt;&gt;"",NOT(Tasks[[#This Row],[_IsSummary]])),1,0)</f>
        <v>1</v>
      </c>
      <c r="CB8" s="42" t="n">
        <f aca="false">IF(N(Tasks[[#This Row],[_Pred1UID]])=0,0,IFERROR(MATCH(Tasks[[#This Row],[_Pred1UID]],Tasks[UID],0),-1))</f>
        <v>2</v>
      </c>
      <c r="CC8" s="42" t="n">
        <f aca="false">IF(N(Tasks[[#This Row],[_Pred2UID]])=0,0,IFERROR(MATCH(Tasks[[#This Row],[_Pred2UID]],Tasks[UID],0),-1))</f>
        <v>0</v>
      </c>
      <c r="CD8" s="42" t="n">
        <f aca="false">IF(N(Tasks[[#This Row],[_Pred3UID]])=0,0,IFERROR(MATCH(Tasks[[#This Row],[_Pred3UID]],Tasks[UID],0),-1))</f>
        <v>0</v>
      </c>
      <c r="CE8" s="42" t="n">
        <f aca="false">IF(N(Tasks[[#This Row],[_Pred4UID]])=0,0,IFERROR(MATCH(Tasks[[#This Row],[_Pred4UID]],Tasks[UID],0),-1))</f>
        <v>0</v>
      </c>
      <c r="CF8"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 s="89" t="n">
        <f aca="false">IF(OR(Tasks[[#This Row],[_ConstraintCode]]=2,Tasks[[#This Row],[_ConstraintCode]]=3,Tasks[[#This Row],[_ConstraintCode]]=4,Tasks[[#This Row],[_ConstraintCode]]=6),Tasks[[#This Row],[_ConstraintStart]],0)</f>
        <v>0</v>
      </c>
      <c r="CI8" s="89" t="n">
        <f aca="false">IF(OR(Tasks[[#This Row],[_ConstraintCode]]=2,Tasks[[#This Row],[_ConstraintCode]]=3,Tasks[[#This Row],[_ConstraintCode]]=5,Tasks[[#This Row],[_ConstraintCode]]=7),Tasks[[#This Row],[_ConstraintStart]],2958465)</f>
        <v>2958465</v>
      </c>
      <c r="CJ8"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K8" s="89" t="n">
        <f aca="false">IF(NOT(Tasks[[#This Row],[_IsLeaf]]=1),"",IF(N(Tasks[[#This Row],[_Days]])&lt;=0,Tasks[[#This Row],[_LeafCalcStart]],WORKDAY.INTL(Tasks[[#This Row],[_LeafCalcStart]],Tasks[[#This Row],[_Days]]-1,WorkWeek,Holidays)))</f>
        <v>46276</v>
      </c>
      <c r="CL8"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M8"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8" s="42" t="str">
        <f aca="false">IF(Tasks[[#This Row],[_Predecessors]]="","",TRIM(MID(SUBSTITUTE(SUBSTITUTE(SUBSTITUTE(UPPER(Tasks[[#This Row],[_Predecessors]]),";",",")," ",""),",",REPT(" ",99)),1,99)))</f>
        <v>2</v>
      </c>
      <c r="CO8" s="42" t="n">
        <f aca="false">IF(Tasks[[#This Row],[_Pred1Text]]="","",IFERROR(VALUE(LEFT(Tasks[[#This Row],[_Pred1Text]],MIN(FIND("F",Tasks[[#This Row],[_Pred1Text]]&amp;"F"),FIND("S",Tasks[[#This Row],[_Pred1Text]]&amp;"S"),FIND("+",Tasks[[#This Row],[_Pred1Text]]&amp;"+"),FIND("-",Tasks[[#This Row],[_Pred1Text]]&amp;"-"))-1)),""))</f>
        <v>2</v>
      </c>
      <c r="CP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8"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8" s="42" t="str">
        <f aca="false">IF(Tasks[[#This Row],[_Pred1Text]]="","",TRIM(MID(SUBSTITUTE(SUBSTITUTE(SUBSTITUTE(UPPER(Tasks[[#This Row],[_Predecessors]]),";",",")," ",""),",",REPT(" ",99)),100,99)))</f>
        <v/>
      </c>
      <c r="CS8" s="42" t="str">
        <f aca="false">IF(Tasks[[#This Row],[_Pred2Text]]="","",IFERROR(VALUE(LEFT(Tasks[[#This Row],[_Pred2Text]],MIN(FIND("F",Tasks[[#This Row],[_Pred2Text]]&amp;"F"),FIND("S",Tasks[[#This Row],[_Pred2Text]]&amp;"S"),FIND("+",Tasks[[#This Row],[_Pred2Text]]&amp;"+"),FIND("-",Tasks[[#This Row],[_Pred2Text]]&amp;"-"))-1)),""))</f>
        <v/>
      </c>
      <c r="CT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 s="42" t="str">
        <f aca="false">IF(Tasks[[#This Row],[_Pred2Text]]="","",TRIM(MID(SUBSTITUTE(SUBSTITUTE(SUBSTITUTE(UPPER(Tasks[[#This Row],[_Predecessors]]),";",",")," ",""),",",REPT(" ",99)),199,99)))</f>
        <v/>
      </c>
      <c r="CW8" s="42" t="str">
        <f aca="false">IF(Tasks[[#This Row],[_Pred3Text]]="","",IFERROR(VALUE(LEFT(Tasks[[#This Row],[_Pred3Text]],MIN(FIND("F",Tasks[[#This Row],[_Pred3Text]]&amp;"F"),FIND("S",Tasks[[#This Row],[_Pred3Text]]&amp;"S"),FIND("+",Tasks[[#This Row],[_Pred3Text]]&amp;"+"),FIND("-",Tasks[[#This Row],[_Pred3Text]]&amp;"-"))-1)),""))</f>
        <v/>
      </c>
      <c r="CX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 s="42" t="str">
        <f aca="false">IF(Tasks[[#This Row],[_Pred3Text]]="","",TRIM(MID(SUBSTITUTE(SUBSTITUTE(SUBSTITUTE(UPPER(Tasks[[#This Row],[_Predecessors]]),";",",")," ",""),",",REPT(" ",99)),298,99)))</f>
        <v/>
      </c>
      <c r="DA8" s="42" t="str">
        <f aca="false">IF(Tasks[[#This Row],[_Pred4Text]]="","",IFERROR(VALUE(LEFT(Tasks[[#This Row],[_Pred4Text]],MIN(FIND("F",Tasks[[#This Row],[_Pred4Text]]&amp;"F"),FIND("S",Tasks[[#This Row],[_Pred4Text]]&amp;"S"),FIND("+",Tasks[[#This Row],[_Pred4Text]]&amp;"+"),FIND("-",Tasks[[#This Row],[_Pred4Text]]&amp;"-"))-1)),""))</f>
        <v/>
      </c>
      <c r="DB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 s="42" t="str">
        <f aca="false">IF(OR(Tasks[[#This Row],[Task Name]]="",Tasks[[#This Row],[_Resources]]=""),"",TRIM(MID(SUBSTITUTE(Tasks[[#This Row],[_Resources]],",",REPT(" ",99)),1,99)))</f>
        <v>Morgan Patel</v>
      </c>
      <c r="DE8" s="42" t="str">
        <f aca="false">IF(Tasks[[#This Row],[_Res1Text]]="","",TRIM(MID(SUBSTITUTE(Tasks[[#This Row],[_Resources]],",",REPT(" ",99)),100,99)))</f>
        <v/>
      </c>
      <c r="DF8" s="42" t="str">
        <f aca="false">IF(Tasks[[#This Row],[_Res2Text]]="","",TRIM(MID(SUBSTITUTE(Tasks[[#This Row],[_Resources]],",",REPT(" ",99)),199,99)))</f>
        <v/>
      </c>
      <c r="DG8" s="42" t="str">
        <f aca="false">IF(Tasks[[#This Row],[_Res3Text]]="","",TRIM(MID(SUBSTITUTE(Tasks[[#This Row],[_Resources]],",",REPT(" ",99)),298,99)))</f>
        <v/>
      </c>
      <c r="DH8" s="42" t="n">
        <f aca="false">IF(Tasks[[#This Row],[_Res1Text]]="",0,IFERROR(MATCH(TRIM(LEFT(Tasks[[#This Row],[_Res1Text]],FIND("[",Tasks[[#This Row],[_Res1Text]]&amp;"[")-1)),res_Name,0),IFERROR(MATCH(TRIM(LEFT(Tasks[[#This Row],[_Res1Text]],FIND("[",Tasks[[#This Row],[_Res1Text]]&amp;"[")-1)),res_Initials,0),0)))</f>
        <v>2</v>
      </c>
      <c r="DI8" s="42" t="n">
        <f aca="false">IF(Tasks[[#This Row],[_Res2Text]]="",0,IFERROR(MATCH(TRIM(LEFT(Tasks[[#This Row],[_Res2Text]],FIND("[",Tasks[[#This Row],[_Res2Text]]&amp;"[")-1)),res_Name,0),IFERROR(MATCH(TRIM(LEFT(Tasks[[#This Row],[_Res2Text]],FIND("[",Tasks[[#This Row],[_Res2Text]]&amp;"[")-1)),res_Initials,0),0)))</f>
        <v>0</v>
      </c>
      <c r="DJ8" s="42" t="n">
        <f aca="false">IF(Tasks[[#This Row],[_Res3Text]]="",0,IFERROR(MATCH(TRIM(LEFT(Tasks[[#This Row],[_Res3Text]],FIND("[",Tasks[[#This Row],[_Res3Text]]&amp;"[")-1)),res_Name,0),IFERROR(MATCH(TRIM(LEFT(Tasks[[#This Row],[_Res3Text]],FIND("[",Tasks[[#This Row],[_Res3Text]]&amp;"[")-1)),res_Initials,0),0)))</f>
        <v>0</v>
      </c>
      <c r="DK8" s="42" t="n">
        <f aca="false">IF(Tasks[[#This Row],[_Res4Text]]="",0,IFERROR(MATCH(TRIM(LEFT(Tasks[[#This Row],[_Res4Text]],FIND("[",Tasks[[#This Row],[_Res4Text]]&amp;"[")-1)),res_Name,0),IFERROR(MATCH(TRIM(LEFT(Tasks[[#This Row],[_Res4Text]],FIND("[",Tasks[[#This Row],[_Res4Text]]&amp;"[")-1)),res_Initials,0),0)))</f>
        <v>0</v>
      </c>
      <c r="DL8" s="42" t="str">
        <f aca="false">IF(Tasks[[#This Row],[_Res1Text]]="","",IF(Tasks[[#This Row],[_Res1Row]]&gt;0,INDEX(res_Name,Tasks[[#This Row],[_Res1Row]]),TRIM(LEFT(Tasks[[#This Row],[_Res1Text]],FIND("[",Tasks[[#This Row],[_Res1Text]]&amp;"[")-1))))</f>
        <v>Morgan Patel</v>
      </c>
      <c r="DM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 s="42" t="n">
        <f aca="false">IF(NOT(Tasks[[#This Row],[_IsLeaf]]=1),0,(Tasks[[#This Row],[_Resource1]]&lt;&gt;"")+(Tasks[[#This Row],[_Res2]]&lt;&gt;"")+(Tasks[[#This Row],[_Res3]]&lt;&gt;"")+(Tasks[[#This Row],[_Res4]]&lt;&gt;""))</f>
        <v>1</v>
      </c>
      <c r="DO8" s="42" t="str">
        <f aca="false">IF(Tasks[[#This Row],[_Res2Text]]="","",IF(Tasks[[#This Row],[_Res2Row]]&gt;0,INDEX(res_Name,Tasks[[#This Row],[_Res2Row]]),TRIM(LEFT(Tasks[[#This Row],[_Res2Text]],FIND("[",Tasks[[#This Row],[_Res2Text]]&amp;"[")-1))))</f>
        <v/>
      </c>
      <c r="DP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 s="42" t="n">
        <f aca="false">IF(OR(NOT(Tasks[[#This Row],[_IsLeaf]]=1),Tasks[[#This Row],[_Res2Row]]=0),0,N(Tasks[[#This Row],[_Days]])*HoursPerDay*IF(Tasks[[#This Row],[_Res2Units]]="",DefaultUnits,Tasks[[#This Row],[_Res2Units]]))</f>
        <v>0</v>
      </c>
      <c r="DR8" s="42" t="n">
        <f aca="false">IF(AND(AND(Tasks[[#This Row],[_IsLeaf]]=1,Tasks[[#This Row],[_LeafTotalWork]]&gt;0),Tasks[[#This Row],[_Res2Work]]&gt;0),Tasks[[#This Row],[_Res2Work]]/(Tasks[[#This Row],[_FinishWorkday]]-Tasks[[#This Row],[_StartWorkday]]+1),0)</f>
        <v>0</v>
      </c>
      <c r="DS8" s="42" t="n">
        <f aca="false">Tasks[[#This Row],[_Res2WorkPerWD]]*MAX(0,Tasks[[#This Row],[_StartWorkday]]-1)</f>
        <v>0</v>
      </c>
      <c r="DT8" s="42" t="n">
        <f aca="false">Tasks[[#This Row],[_Res2Work]]*Tasks[[#This Row],[_LeafProgress]]</f>
        <v>0</v>
      </c>
      <c r="DU8" s="42" t="str">
        <f aca="false">IF(Tasks[[#This Row],[_Res3Text]]="","",IF(Tasks[[#This Row],[_Res3Row]]&gt;0,INDEX(res_Name,Tasks[[#This Row],[_Res3Row]]),TRIM(LEFT(Tasks[[#This Row],[_Res3Text]],FIND("[",Tasks[[#This Row],[_Res3Text]]&amp;"[")-1))))</f>
        <v/>
      </c>
      <c r="DV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 s="42" t="n">
        <f aca="false">IF(OR(NOT(Tasks[[#This Row],[_IsLeaf]]=1),Tasks[[#This Row],[_Res3Row]]=0),0,N(Tasks[[#This Row],[_Days]])*HoursPerDay*IF(Tasks[[#This Row],[_Res3Units]]="",DefaultUnits,Tasks[[#This Row],[_Res3Units]]))</f>
        <v>0</v>
      </c>
      <c r="DX8" s="42" t="n">
        <f aca="false">IF(AND(AND(Tasks[[#This Row],[_IsLeaf]]=1,Tasks[[#This Row],[_LeafTotalWork]]&gt;0),Tasks[[#This Row],[_Res3Work]]&gt;0),Tasks[[#This Row],[_Res3Work]]/(Tasks[[#This Row],[_FinishWorkday]]-Tasks[[#This Row],[_StartWorkday]]+1),0)</f>
        <v>0</v>
      </c>
      <c r="DY8" s="42" t="n">
        <f aca="false">Tasks[[#This Row],[_Res3WorkPerWD]]*MAX(0,Tasks[[#This Row],[_StartWorkday]]-1)</f>
        <v>0</v>
      </c>
      <c r="DZ8" s="42" t="n">
        <f aca="false">Tasks[[#This Row],[_Res3Work]]*Tasks[[#This Row],[_LeafProgress]]</f>
        <v>0</v>
      </c>
      <c r="EA8" s="42" t="str">
        <f aca="false">IF(Tasks[[#This Row],[_Res4Text]]="","",IF(Tasks[[#This Row],[_Res4Row]]&gt;0,INDEX(res_Name,Tasks[[#This Row],[_Res4Row]]),TRIM(LEFT(Tasks[[#This Row],[_Res4Text]],FIND("[",Tasks[[#This Row],[_Res4Text]]&amp;"[")-1))))</f>
        <v/>
      </c>
      <c r="EB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 s="42" t="n">
        <f aca="false">IF(OR(NOT(Tasks[[#This Row],[_IsLeaf]]=1),Tasks[[#This Row],[_Res4Row]]=0),0,N(Tasks[[#This Row],[_Days]])*HoursPerDay*IF(Tasks[[#This Row],[_Res4Units]]="",DefaultUnits,Tasks[[#This Row],[_Res4Units]]))</f>
        <v>0</v>
      </c>
      <c r="ED8" s="42" t="n">
        <f aca="false">IF(AND(AND(Tasks[[#This Row],[_IsLeaf]]=1,Tasks[[#This Row],[_LeafTotalWork]]&gt;0),Tasks[[#This Row],[_Res4Work]]&gt;0),Tasks[[#This Row],[_Res4Work]]/(Tasks[[#This Row],[_FinishWorkday]]-Tasks[[#This Row],[_StartWorkday]]+1),0)</f>
        <v>0</v>
      </c>
      <c r="EE8" s="42" t="n">
        <f aca="false">Tasks[[#This Row],[_Res4WorkPerWD]]*MAX(0,Tasks[[#This Row],[_StartWorkday]]-1)</f>
        <v>0</v>
      </c>
      <c r="EF8" s="42" t="n">
        <f aca="false">Tasks[[#This Row],[_Res4Work]]*Tasks[[#This Row],[_LeafProgress]]</f>
        <v>0</v>
      </c>
      <c r="EG8" s="92" t="n">
        <f aca="false">IF(ISNUMBER(Tasks[[#This Row],[% Complete]]),Tasks[[#This Row],[% Complete]],IF(Tasks[[#This Row],[Stage]]="",0,IFERROR(INDEX(stg_Pct,MATCH(Tasks[[#This Row],[Stage]],stg_Name,0)),0)))</f>
        <v>1</v>
      </c>
      <c r="EH8" s="42" t="n">
        <f aca="false">IF(NOT(Tasks[[#This Row],[_IsLeaf]]=1),0,IF(N(Tasks[[#This Row],[Actual Finish]])&gt;0,1,MIN(1,Tasks[[#This Row],[_Pct]])))</f>
        <v>1</v>
      </c>
      <c r="EI8" s="42" t="n">
        <f aca="false">IF(OR(NOT(Tasks[[#This Row],[_IsLeaf]]=1),Tasks[[#This Row],[_Res1Row]]=0),0,N(Tasks[[#This Row],[_Days]])*HoursPerDay*IF(Tasks[[#This Row],[_Units1]]="",DefaultUnits,Tasks[[#This Row],[_Units1]]))</f>
        <v>16</v>
      </c>
      <c r="EJ8" s="42" t="n">
        <f aca="false">Tasks[[#This Row],[_LeafWork]]+Tasks[[#This Row],[_Res2Work]]+Tasks[[#This Row],[_Res3Work]]+Tasks[[#This Row],[_Res4Work]]</f>
        <v>16</v>
      </c>
      <c r="EK8"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L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 s="42" t="n">
        <f aca="false">IF(NOT(Tasks[[#This Row],[_IsLeaf]]=1),0,MAX(_xlfn.MAXIFS(Tasks[_Row],Tasks[_Pred1UID],Tasks[[#This Row],[UID]]),_xlfn.MAXIFS(Tasks[_Row],Tasks[_Pred2UID],Tasks[[#This Row],[UID]]),_xlfn.MAXIFS(Tasks[_Row],Tasks[_Pred3UID],Tasks[[#This Row],[UID]]),_xlfn.MAXIFS(Tasks[_Row],Tasks[_Pred4UID],Tasks[[#This Row],[UID]])))</f>
        <v>4</v>
      </c>
      <c r="ET8"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8"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8" s="89" t="n">
        <f aca="false">IF(NOT(Tasks[[#This Row],[_IsLeaf]]=1),"",IF(N(Tasks[[#This Row],[_Days]])&lt;=0,Tasks[[#This Row],[_LeafLateFinish]],WORKDAY.INTL(Tasks[[#This Row],[_LeafLateFinish]],-(Tasks[[#This Row],[_Days]]-1),WorkWeek,Holidays)))</f>
        <v>46281</v>
      </c>
      <c r="EW8"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8" s="88" t="b">
        <f aca="false">AND(Tasks[[#This Row],[_IsLeaf]]=1,Tasks[[#This Row],[_LeafProgress]]&lt;1,N(Tasks[[#This Row],[_LeafTotalSlack]])&lt;=CriticalSlackDays)</f>
        <v>0</v>
      </c>
      <c r="EY8" s="42" t="n">
        <f aca="false">IF(AND(Tasks[[#This Row],[_IsLeaf]]=1,Tasks[[#This Row],[_ConstraintCode]]=1,Tasks[[#This Row],[Mode]]&lt;&gt;"Manual",N(Tasks[[#This Row],[Actual Start]])=0),MAX(0,N(Tasks[[#This Row],[Free Slack]])),0)</f>
        <v>0</v>
      </c>
      <c r="EZ8" s="89" t="n">
        <f aca="false">IF(NOT(Tasks[[#This Row],[_IsLeaf]]=1),"",IF(Tasks[[#This Row],[_AlapShift]]=0,Tasks[[#This Row],[_LeafCalcStart]],WORKDAY.INTL(Tasks[[#This Row],[_LeafCalcStart]],Tasks[[#This Row],[_AlapShift]],WorkWeek,Holidays)))</f>
        <v>46275</v>
      </c>
      <c r="FA8" s="89" t="n">
        <f aca="false">IF(NOT(Tasks[[#This Row],[_IsLeaf]]=1),"",IF(Tasks[[#This Row],[_AlapShift]]=0,Tasks[[#This Row],[_LeafCalcFinish]],WORKDAY.INTL(Tasks[[#This Row],[_LeafCalcFinish]],Tasks[[#This Row],[_AlapShift]],WorkWeek,Holidays)))</f>
        <v>46276</v>
      </c>
      <c r="FB8" s="89" t="n">
        <f aca="false">IF(NOT(Tasks[[#This Row],[_IsLeaf]]=1),"",IF(Tasks[[#This Row],[_AlapShift]]=0,Tasks[[#This Row],[_LeafFcstStart]],WORKDAY.INTL(Tasks[[#This Row],[_LeafFcstStart]],Tasks[[#This Row],[_AlapShift]],WorkWeek,Holidays)))</f>
        <v>46276</v>
      </c>
      <c r="FC8" s="89" t="n">
        <f aca="false">IF(NOT(Tasks[[#This Row],[_IsLeaf]]=1),"",IF(Tasks[[#This Row],[_AlapShift]]=0,Tasks[[#This Row],[_LeafFcstFinish]],WORKDAY.INTL(Tasks[[#This Row],[_LeafFcstFinish]],Tasks[[#This Row],[_AlapShift]],WorkWeek,Holidays)))</f>
        <v>46279</v>
      </c>
      <c r="FD8" s="89" t="n">
        <f aca="false">IF(Tasks[[#This Row],[Task Name]]="","",IF(Tasks[[#This Row],[_IsSummary]],MIN(INDEX(Tasks[_ShownCalcStart],Tasks[[#This Row],[_Row]]+1):INDEX(Tasks[_ShownCalcStart],Tasks[[#This Row],[_Row]]+Tasks[[#This Row],[_Descendants]])),Tasks[[#This Row],[_ShownCalcStart]]))</f>
        <v>46275</v>
      </c>
      <c r="FE8" s="89" t="n">
        <f aca="false">IF(Tasks[[#This Row],[Task Name]]="","",IF(Tasks[[#This Row],[_IsSummary]],MAX(INDEX(Tasks[_ShownCalcFinish],Tasks[[#This Row],[_Row]]+1):INDEX(Tasks[_ShownCalcFinish],Tasks[[#This Row],[_Row]]+Tasks[[#This Row],[_Descendants]])),Tasks[[#This Row],[_ShownCalcFinish]]))</f>
        <v>46276</v>
      </c>
      <c r="FF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K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O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 s="42" t="n">
        <f aca="false">IF(AND(Tasks[[#This Row],[_IsLeaf]]=1,Tasks[[#This Row],[_LeafTotalWork]]&gt;0),NETWORKDAYS.INTL(ProjectStart,Tasks[[#This Row],[_ShownFcstStart]],WorkWeek,Holidays),0)</f>
        <v>5</v>
      </c>
      <c r="FS8" s="42" t="n">
        <f aca="false">IF(AND(Tasks[[#This Row],[_IsLeaf]]=1,Tasks[[#This Row],[_LeafTotalWork]]&gt;0),MAX(Tasks[[#This Row],[_StartWorkday]],NETWORKDAYS.INTL(ProjectStart,Tasks[[#This Row],[_ShownFcstFinish]],WorkWeek,Holidays)),0)</f>
        <v>6</v>
      </c>
      <c r="FT8" s="42" t="n">
        <f aca="false">IF(AND(Tasks[[#This Row],[_IsLeaf]]=1,Tasks[[#This Row],[_LeafTotalWork]]&gt;0),Tasks[[#This Row],[_LeafWork]]/(Tasks[[#This Row],[_FinishWorkday]]-Tasks[[#This Row],[_StartWorkday]]+1),0)</f>
        <v>8</v>
      </c>
      <c r="FU8" s="42" t="n">
        <f aca="false">Tasks[[#This Row],[_WorkPerWorkday]]*(Tasks[[#This Row],[_StartWorkday]]-1)</f>
        <v>32</v>
      </c>
      <c r="FV8" s="42" t="n">
        <f aca="false">IF(Tasks[[#This Row],[_IsLeaf]]=1,MAX(N(Tasks[[#This Row],[_Days]]),0.1),0)</f>
        <v>2</v>
      </c>
      <c r="FW8" s="42" t="n">
        <f aca="false">Tasks[[#This Row],[_WeightDur]]*Tasks[[#This Row],[_LeafProgress]]</f>
        <v>2</v>
      </c>
      <c r="FX8" s="42" t="n">
        <f aca="false">Tasks[[#This Row],[_WeightDur]]*Tasks[[#This Row],[_PlannedPct]]</f>
        <v>2</v>
      </c>
      <c r="FY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Z8" s="42" t="str">
        <f aca="false">IF(AND(Tasks[[#This Row],[_IsLeaf]]=1,N(Tasks[[#This Row],[_Days]])=0,Tasks[[#This Row],[_LeafProgress]]&lt;1),Tasks[[#This Row],[_ShownFcstFinish]]+Tasks[[#This Row],[_Row]]/100000,"")</f>
        <v/>
      </c>
      <c r="GA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8" s="42" t="str">
        <f aca="false">IF(Tasks[[#This Row],[Task Name]]="","",LEFT(Tasks[[#This Row],[WBS]],FIND(".",Tasks[[#This Row],[WBS]]&amp;".")-1))</f>
        <v>1</v>
      </c>
      <c r="GC8" s="42" t="str">
        <f aca="false">IF(AND(Tasks[[#This Row],[Task Name]]&lt;&gt;"",Tasks[[#This Row],[_Level]]=1),Tasks[[#This Row],[_Row]],"")</f>
        <v/>
      </c>
      <c r="GD8" s="42" t="str">
        <f aca="false">IF(AND(Tasks[[#This Row],[_IsLeaf]]=1,N(Tasks[[#This Row],[_Days]])=0),Tasks[[#This Row],[Planned Finish]]+Tasks[[#This Row],[_Row]]/100000,"")</f>
        <v/>
      </c>
      <c r="GE8" s="42" t="str">
        <f aca="false">IF(AND(Tasks[[#This Row],[_IsLeaf]]=1,Tasks[[#This Row],[_LeafProgress]]&lt;1,OR(N(Tasks[[#This Row],[Finish Var]])&gt;0,Tasks[[#This Row],[Status]]="Late Start")),MAX(0,Tasks[[#This Row],[Finish Var]])+1-Tasks[[#This Row],[_Row]]/1000000,"")</f>
        <v/>
      </c>
      <c r="GF8" s="42" t="str">
        <f aca="false">IF(AND(Tasks[[#This Row],[_IsLeaf]]=1,N(Tasks[[#This Row],[Actual Start]])=0,Tasks[[#This Row],[_ShownFcstStart]]&gt;=StatusDate,Tasks[[#This Row],[_ShownFcstStart]]&lt;=LookaheadEnd),Tasks[[#This Row],[_ShownFcstStart]]+Tasks[[#This Row],[_Row]]/100000,"")</f>
        <v/>
      </c>
      <c r="GG8" s="42" t="str">
        <f aca="false">IF(AND(Tasks[[#This Row],[_IsLeaf]]=1,Tasks[[#This Row],[_LeafProgress]]&lt;1,Tasks[[#This Row],[_ShownFcstFinish]]&gt;=StatusDate,Tasks[[#This Row],[_ShownFcstFinish]]&lt;=LookaheadEnd),Tasks[[#This Row],[_ShownFcstFinish]]+Tasks[[#This Row],[_Row]]/100000,"")</f>
        <v/>
      </c>
      <c r="GH8" s="42" t="str">
        <f aca="false">IF(Tasks[[#This Row],[_LeafCritical]],Tasks[[#This Row],[_ShownFcstStart]]+Tasks[[#This Row],[_Row]]/100000,"")</f>
        <v/>
      </c>
      <c r="GI8" s="42" t="n">
        <f aca="false">Tasks[[#This Row],[_LeafWork]]*Tasks[[#This Row],[_LeafProgress]]</f>
        <v>16</v>
      </c>
      <c r="GJ8" s="89" t="n">
        <f aca="false">IF(AND(Tasks[[#This Row],[_IsLeaf]]=1,Tasks[[#This Row],[_LeafProgress]]&gt;=1),IF(N(Tasks[[#This Row],[Actual Finish]])&gt;0,Tasks[[#This Row],[Actual Finish]],Tasks[[#This Row],[_ShownFcstFinish]]),"")</f>
        <v>46279</v>
      </c>
      <c r="GK8" s="42" t="n">
        <f aca="false">IF(Tasks[[#This Row],[_IsLeaf]]=1,N(Tasks[[#This Row],[Story Points]]),0)</f>
        <v>0</v>
      </c>
      <c r="GL8" s="42" t="str">
        <f aca="false">""</f>
        <v/>
      </c>
      <c r="GM8" s="88" t="b">
        <f aca="false">IF(Tasks[[#This Row],[Task Name]]="",FALSE(),AND(Tasks[[#This Row],[_IsLeaf]]=1,N(Tasks[[#This Row],[_Days]])=0))</f>
        <v>0</v>
      </c>
      <c r="GN8" s="89" t="n">
        <f aca="false">IF(Tasks[[#This Row],[Task Name]]="",0,IF(AND(Tasks[[#This Row],[_IsLeaf]]=1,NOT(Tasks[[#This Row],[_IsMilestone]]),N(Tasks[[#This Row],[Progress]])&gt;0),Tasks[[#This Row],[Start]],0))</f>
        <v>46276</v>
      </c>
      <c r="GO8" s="89" t="n">
        <f aca="false">IF(Tasks[[#This Row],[_DoneFrom]]=0,0,IF(Tasks[[#This Row],[Progress]]&gt;=1,Tasks[[#This Row],[Finish]],MAX(Tasks[[#This Row],[_DoneFrom]],Tasks[[#This Row],[Start]]+ROUND((Tasks[[#This Row],[Finish]]-Tasks[[#This Row],[Start]]+1)*Tasks[[#This Row],[Progress]],0)-1)))</f>
        <v>46279</v>
      </c>
      <c r="GP8" s="89" t="n">
        <f aca="false">IF(Tasks[[#This Row],[Task Name]]="",0,IF(OR(NOT(Tasks[[#This Row],[_IsLeaf]]=1),Tasks[[#This Row],[_IsMilestone]],N(Tasks[[#This Row],[Progress]])&gt;=1),0,IF(Tasks[[#This Row],[_DoneTo]]&gt;0,Tasks[[#This Row],[_DoneTo]]+1,Tasks[[#This Row],[Start]])))</f>
        <v>0</v>
      </c>
      <c r="GQ8" s="89" t="n">
        <f aca="false">IF(Tasks[[#This Row],[_RemFrom]]=0,0,Tasks[[#This Row],[Finish]])</f>
        <v>0</v>
      </c>
      <c r="GR8" s="88" t="b">
        <f aca="false">IF(Tasks[[#This Row],[Task Name]]="",FALSE(),OR(NOT(BaselineSet),N(Tasks[[#This Row],[Baseline Start]])&gt;0))</f>
        <v>1</v>
      </c>
      <c r="GS8"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GT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GU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8" s="90" t="n">
        <f aca="false">IF(Tasks[[#This Row],[_IsLeaf]]=1,Tasks[[#This Row],[_Row]],"")</f>
        <v>3</v>
      </c>
      <c r="GW8" s="90" t="str">
        <f aca="false">IFERROR(INDEX(Tasks[UID],SMALL(Tasks[_PickKey],Tasks[[#This Row],[_Row]]))&amp;" "&amp;INDEX(Tasks[Task Name],SMALL(Tasks[_PickKey],Tasks[[#This Row],[_Row]])),"")</f>
        <v>4 Kickoff complete</v>
      </c>
      <c r="GX8" s="42" t="n">
        <f aca="false">IF(Tasks[[#This Row],[Task Name]]="","",IF(Tasks[[#This Row],[_IsSummary]],NETWORKDAYS.INTL(Tasks[[#This Row],[Start]],Tasks[[#This Row],[Finish]],WorkWeek,Holidays),N(Tasks[[#This Row],[_Days]])))</f>
        <v>2</v>
      </c>
    </row>
    <row r="9" customFormat="false" ht="15" hidden="false" customHeight="false" outlineLevel="1" collapsed="false">
      <c r="A9" s="21" t="n">
        <f aca="false">IF(Tasks[[#This Row],[Task Name]]="","",COUNTA(Tasks[[#Headers],[Task Name]]:Tasks[[#This Row],[Task Name]])-1)</f>
        <v>4</v>
      </c>
      <c r="B9" s="22" t="n">
        <v>4</v>
      </c>
      <c r="C9" s="22" t="n">
        <v>2</v>
      </c>
      <c r="D9" s="91" t="s">
        <v>614</v>
      </c>
      <c r="E9" s="22" t="n">
        <v>0</v>
      </c>
      <c r="F9" s="23" t="n">
        <v>3</v>
      </c>
      <c r="G9" s="22"/>
      <c r="H9" s="22"/>
      <c r="I9" s="23"/>
      <c r="J9" s="22"/>
      <c r="K9" s="22"/>
      <c r="L9" s="23"/>
      <c r="M9" s="22"/>
      <c r="N9" s="22"/>
      <c r="O9" s="23"/>
      <c r="P9" s="22"/>
      <c r="Q9" s="22"/>
      <c r="R9" s="23"/>
      <c r="S9" s="23"/>
      <c r="T9" s="83"/>
      <c r="U9" s="23"/>
      <c r="V9" s="83"/>
      <c r="W9" s="23"/>
      <c r="X9" s="83"/>
      <c r="Y9" s="23"/>
      <c r="Z9" s="83"/>
      <c r="AA9" s="23"/>
      <c r="AB9" s="23" t="s">
        <v>139</v>
      </c>
      <c r="AC9" s="7" t="n">
        <v>46279</v>
      </c>
      <c r="AD9" s="7" t="n">
        <v>46279</v>
      </c>
      <c r="AE9" s="62" t="n">
        <f aca="false">IF(Tasks[[#This Row],[Task Name]]="","",IF(Tasks[[#This Row],[_IsSummary]],MIN(INDEX(Tasks[_ShownFcstStart],Tasks[[#This Row],[_Row]]+1):INDEX(Tasks[_ShownFcstStart],Tasks[[#This Row],[_Row]]+Tasks[[#This Row],[_Descendants]])),Tasks[[#This Row],[_ShownFcstStart]]))</f>
        <v>46279</v>
      </c>
      <c r="AF9" s="62" t="n">
        <f aca="false">IF(Tasks[[#This Row],[Task Name]]="","",IF(Tasks[[#This Row],[_IsSummary]],MAX(INDEX(Tasks[_ShownFcstFinish],Tasks[[#This Row],[_Row]]+1):INDEX(Tasks[_ShownFcstFinish],Tasks[[#This Row],[_Row]]+Tasks[[#This Row],[_Descendants]])),Tasks[[#This Row],[_ShownFcstFinish]]))</f>
        <v>46279</v>
      </c>
      <c r="AG9" s="21" t="str">
        <f aca="false">""</f>
        <v/>
      </c>
      <c r="AH9" s="23" t="s">
        <v>615</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 s="7"/>
      <c r="AK9" s="22" t="s">
        <v>235</v>
      </c>
      <c r="AL9" s="23"/>
      <c r="AM9" s="7"/>
      <c r="AN9" s="46"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2" t="n">
        <f aca="false">IF(Tasks[[#This Row],[Task Name]]="","",IF(N(Tasks[[#This Row],[Baseline Start]])&gt;0,Tasks[[#This Row],[Baseline Start]],Tasks[[#This Row],[_CalcStart]]))</f>
        <v>46276</v>
      </c>
      <c r="AR9" s="62" t="n">
        <f aca="false">IF(Tasks[[#This Row],[Task Name]]="","",IF(N(Tasks[[#This Row],[Baseline Finish]])&gt;0,Tasks[[#This Row],[Baseline Finish]],Tasks[[#This Row],[_CalcFinish]]))</f>
        <v>46276</v>
      </c>
      <c r="AS9" s="46" t="n">
        <f aca="false">IF(Tasks[[#This Row],[Task Name]]="","",IF(Tasks[[#This Row],[Start]]&gt;=Tasks[[#This Row],[Planned Start]],NETWORKDAYS.INTL(Tasks[[#This Row],[Planned Start]],Tasks[[#This Row],[Start]],WorkWeek,Holidays)-1,1-NETWORKDAYS.INTL(Tasks[[#This Row],[Start]],Tasks[[#This Row],[Planned Start]],WorkWeek,Holidays)))</f>
        <v>1</v>
      </c>
      <c r="AT9" s="62" t="n">
        <f aca="false">IF(Tasks[[#This Row],[Task Name]]="","",IF(Tasks[[#This Row],[_IsSummary]],MIN(INDEX(Tasks[_LeafLateStart],Tasks[[#This Row],[_Row]]+1):INDEX(Tasks[_LeafLateStart],Tasks[[#This Row],[_Row]]+Tasks[[#This Row],[_Descendants]])),Tasks[[#This Row],[_LeafLateStart]]))</f>
        <v>46282</v>
      </c>
      <c r="AU9" s="62" t="n">
        <f aca="false">IF(Tasks[[#This Row],[Task Name]]="","",IF(Tasks[[#This Row],[_IsSummary]],MAX(INDEX(Tasks[_LeafLateFinish],Tasks[[#This Row],[_Row]]+1):INDEX(Tasks[_LeafLateFinish],Tasks[[#This Row],[_Row]]+Tasks[[#This Row],[_Descendants]])),Tasks[[#This Row],[_LeafLateFinish]]))</f>
        <v>46282</v>
      </c>
      <c r="AV9" s="46"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4"/>
      <c r="BA9"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5"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6"/>
      <c r="BJ9" s="22"/>
      <c r="BK9" s="46" t="n">
        <f aca="false">IF(OR(Tasks[[#This Row],[Task Name]]="",Tasks[[#This Row],[Baseline Duration]]=""),"",Tasks[[#This Row],[_SpanDays]]-N(Tasks[[#This Row],[Baseline Duration]]))</f>
        <v>0</v>
      </c>
      <c r="BL9" s="85" t="n">
        <f aca="false">IF(OR(Tasks[[#This Row],[Task Name]]="",Tasks[[#This Row],[Baseline Work]]=""),"",Tasks[[#This Row],[Work]]-N(Tasks[[#This Row],[Baseline Work]]))</f>
        <v>0</v>
      </c>
      <c r="BM9" s="62" t="n">
        <f aca="false">IF(Tasks[[#This Row],[Task Name]]="","",IF(OR(TakeBaseline="Yes",N(Tasks[[#This Row],[Baseline Start]])=0),Tasks[[#This Row],[Start]],Tasks[[#This Row],[Baseline Start]]))</f>
        <v>46276</v>
      </c>
      <c r="BN9" s="62"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5" t="n">
        <f aca="false">IF(Tasks[[#This Row],[Task Name]]="","",IF(OR(TakeBaseline="Yes",N(Tasks[[#This Row],[Baseline Work]])=0),Tasks[[#This Row],[Work]],Tasks[[#This Row],[Baseline Work]]))</f>
        <v>0</v>
      </c>
      <c r="BQ9" s="7" t="n">
        <v>46276</v>
      </c>
      <c r="BR9" s="7" t="n">
        <v>46276</v>
      </c>
      <c r="BS9" s="22" t="n">
        <v>0</v>
      </c>
      <c r="BT9" s="87" t="n">
        <v>0</v>
      </c>
      <c r="BU9" s="42" t="n">
        <f aca="false">IF(Tasks[[#This Row],[Task Name]]="","",MAX(1,N(Tasks[[#This Row],[Level]])))</f>
        <v>2</v>
      </c>
      <c r="BV9" s="42" t="n">
        <f aca="false">ROW()-ROW(Tasks[[#Headers],[ID]])</f>
        <v>4</v>
      </c>
      <c r="BW9" s="42" t="n">
        <f aca="false">IF(OR(Tasks[[#This Row],[Task Name]]="",Tasks[[#This Row],[_Level]]&lt;=1),0,IFERROR(LOOKUP(2,1/(Tasks[[#Headers],[_Level]]:Tasks[[#This Row],[_Level]]=Tasks[[#This Row],[_Level]]-1),ROW(Tasks[[#Headers],[_Level]]:Tasks[[#This Row],[_Level]])),0))</f>
        <v>6</v>
      </c>
      <c r="BX9" s="42" t="n">
        <f aca="false">IFERROR(N(INDEX(Tasks[_Level],Tasks[[#This Row],[_Row]]+1)),0)</f>
        <v>1</v>
      </c>
      <c r="BY9" s="88" t="b">
        <f aca="false">AND(Tasks[[#This Row],[Task Name]]&lt;&gt;"",Tasks[[#This Row],[_NextLevel]]&gt;Tasks[[#This Row],[_Level]])</f>
        <v>0</v>
      </c>
      <c r="BZ9" s="42" t="n">
        <f aca="false">IF(Tasks[[#This Row],[_IsSummary]],COUNTIF(Tasks[WBS],Tasks[[#This Row],[WBS]]&amp;".*"),0)</f>
        <v>0</v>
      </c>
      <c r="CA9" s="42" t="n">
        <f aca="false">IF(AND(Tasks[[#This Row],[Task Name]]&lt;&gt;"",NOT(Tasks[[#This Row],[_IsSummary]])),1,0)</f>
        <v>1</v>
      </c>
      <c r="CB9" s="42" t="n">
        <f aca="false">IF(N(Tasks[[#This Row],[_Pred1UID]])=0,0,IFERROR(MATCH(Tasks[[#This Row],[_Pred1UID]],Tasks[UID],0),-1))</f>
        <v>3</v>
      </c>
      <c r="CC9" s="42" t="n">
        <f aca="false">IF(N(Tasks[[#This Row],[_Pred2UID]])=0,0,IFERROR(MATCH(Tasks[[#This Row],[_Pred2UID]],Tasks[UID],0),-1))</f>
        <v>0</v>
      </c>
      <c r="CD9" s="42" t="n">
        <f aca="false">IF(N(Tasks[[#This Row],[_Pred3UID]])=0,0,IFERROR(MATCH(Tasks[[#This Row],[_Pred3UID]],Tasks[UID],0),-1))</f>
        <v>0</v>
      </c>
      <c r="CE9" s="42" t="n">
        <f aca="false">IF(N(Tasks[[#This Row],[_Pred4UID]])=0,0,IFERROR(MATCH(Tasks[[#This Row],[_Pred4UID]],Tasks[UID],0),-1))</f>
        <v>0</v>
      </c>
      <c r="CF9"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 s="89" t="n">
        <f aca="false">IF(OR(Tasks[[#This Row],[_ConstraintCode]]=2,Tasks[[#This Row],[_ConstraintCode]]=3,Tasks[[#This Row],[_ConstraintCode]]=4,Tasks[[#This Row],[_ConstraintCode]]=6),Tasks[[#This Row],[_ConstraintStart]],0)</f>
        <v>0</v>
      </c>
      <c r="CI9" s="89" t="n">
        <f aca="false">IF(OR(Tasks[[#This Row],[_ConstraintCode]]=2,Tasks[[#This Row],[_ConstraintCode]]=3,Tasks[[#This Row],[_ConstraintCode]]=5,Tasks[[#This Row],[_ConstraintCode]]=7),Tasks[[#This Row],[_ConstraintStart]],2958465)</f>
        <v>2958465</v>
      </c>
      <c r="CJ9"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K9" s="89" t="n">
        <f aca="false">IF(NOT(Tasks[[#This Row],[_IsLeaf]]=1),"",IF(N(Tasks[[#This Row],[_Days]])&lt;=0,Tasks[[#This Row],[_LeafCalcStart]],WORKDAY.INTL(Tasks[[#This Row],[_LeafCalcStart]],Tasks[[#This Row],[_Days]]-1,WorkWeek,Holidays)))</f>
        <v>46276</v>
      </c>
      <c r="CL9"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M9"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9" s="42" t="str">
        <f aca="false">IF(Tasks[[#This Row],[_Predecessors]]="","",TRIM(MID(SUBSTITUTE(SUBSTITUTE(SUBSTITUTE(UPPER(Tasks[[#This Row],[_Predecessors]]),";",",")," ",""),",",REPT(" ",99)),1,99)))</f>
        <v>3</v>
      </c>
      <c r="CO9" s="42" t="n">
        <f aca="false">IF(Tasks[[#This Row],[_Pred1Text]]="","",IFERROR(VALUE(LEFT(Tasks[[#This Row],[_Pred1Text]],MIN(FIND("F",Tasks[[#This Row],[_Pred1Text]]&amp;"F"),FIND("S",Tasks[[#This Row],[_Pred1Text]]&amp;"S"),FIND("+",Tasks[[#This Row],[_Pred1Text]]&amp;"+"),FIND("-",Tasks[[#This Row],[_Pred1Text]]&amp;"-"))-1)),""))</f>
        <v>3</v>
      </c>
      <c r="CP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9"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9" s="42" t="str">
        <f aca="false">IF(Tasks[[#This Row],[_Pred1Text]]="","",TRIM(MID(SUBSTITUTE(SUBSTITUTE(SUBSTITUTE(UPPER(Tasks[[#This Row],[_Predecessors]]),";",",")," ",""),",",REPT(" ",99)),100,99)))</f>
        <v/>
      </c>
      <c r="CS9" s="42" t="str">
        <f aca="false">IF(Tasks[[#This Row],[_Pred2Text]]="","",IFERROR(VALUE(LEFT(Tasks[[#This Row],[_Pred2Text]],MIN(FIND("F",Tasks[[#This Row],[_Pred2Text]]&amp;"F"),FIND("S",Tasks[[#This Row],[_Pred2Text]]&amp;"S"),FIND("+",Tasks[[#This Row],[_Pred2Text]]&amp;"+"),FIND("-",Tasks[[#This Row],[_Pred2Text]]&amp;"-"))-1)),""))</f>
        <v/>
      </c>
      <c r="CT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 s="42" t="str">
        <f aca="false">IF(Tasks[[#This Row],[_Pred2Text]]="","",TRIM(MID(SUBSTITUTE(SUBSTITUTE(SUBSTITUTE(UPPER(Tasks[[#This Row],[_Predecessors]]),";",",")," ",""),",",REPT(" ",99)),199,99)))</f>
        <v/>
      </c>
      <c r="CW9" s="42" t="str">
        <f aca="false">IF(Tasks[[#This Row],[_Pred3Text]]="","",IFERROR(VALUE(LEFT(Tasks[[#This Row],[_Pred3Text]],MIN(FIND("F",Tasks[[#This Row],[_Pred3Text]]&amp;"F"),FIND("S",Tasks[[#This Row],[_Pred3Text]]&amp;"S"),FIND("+",Tasks[[#This Row],[_Pred3Text]]&amp;"+"),FIND("-",Tasks[[#This Row],[_Pred3Text]]&amp;"-"))-1)),""))</f>
        <v/>
      </c>
      <c r="CX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 s="42" t="str">
        <f aca="false">IF(Tasks[[#This Row],[_Pred3Text]]="","",TRIM(MID(SUBSTITUTE(SUBSTITUTE(SUBSTITUTE(UPPER(Tasks[[#This Row],[_Predecessors]]),";",",")," ",""),",",REPT(" ",99)),298,99)))</f>
        <v/>
      </c>
      <c r="DA9" s="42" t="str">
        <f aca="false">IF(Tasks[[#This Row],[_Pred4Text]]="","",IFERROR(VALUE(LEFT(Tasks[[#This Row],[_Pred4Text]],MIN(FIND("F",Tasks[[#This Row],[_Pred4Text]]&amp;"F"),FIND("S",Tasks[[#This Row],[_Pred4Text]]&amp;"S"),FIND("+",Tasks[[#This Row],[_Pred4Text]]&amp;"+"),FIND("-",Tasks[[#This Row],[_Pred4Text]]&amp;"-"))-1)),""))</f>
        <v/>
      </c>
      <c r="DB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 s="42" t="str">
        <f aca="false">IF(OR(Tasks[[#This Row],[Task Name]]="",Tasks[[#This Row],[_Resources]]=""),"",TRIM(MID(SUBSTITUTE(Tasks[[#This Row],[_Resources]],",",REPT(" ",99)),1,99)))</f>
        <v/>
      </c>
      <c r="DE9" s="42" t="str">
        <f aca="false">IF(Tasks[[#This Row],[_Res1Text]]="","",TRIM(MID(SUBSTITUTE(Tasks[[#This Row],[_Resources]],",",REPT(" ",99)),100,99)))</f>
        <v/>
      </c>
      <c r="DF9" s="42" t="str">
        <f aca="false">IF(Tasks[[#This Row],[_Res2Text]]="","",TRIM(MID(SUBSTITUTE(Tasks[[#This Row],[_Resources]],",",REPT(" ",99)),199,99)))</f>
        <v/>
      </c>
      <c r="DG9" s="42" t="str">
        <f aca="false">IF(Tasks[[#This Row],[_Res3Text]]="","",TRIM(MID(SUBSTITUTE(Tasks[[#This Row],[_Resources]],",",REPT(" ",99)),298,99)))</f>
        <v/>
      </c>
      <c r="DH9" s="42" t="n">
        <f aca="false">IF(Tasks[[#This Row],[_Res1Text]]="",0,IFERROR(MATCH(TRIM(LEFT(Tasks[[#This Row],[_Res1Text]],FIND("[",Tasks[[#This Row],[_Res1Text]]&amp;"[")-1)),res_Name,0),IFERROR(MATCH(TRIM(LEFT(Tasks[[#This Row],[_Res1Text]],FIND("[",Tasks[[#This Row],[_Res1Text]]&amp;"[")-1)),res_Initials,0),0)))</f>
        <v>0</v>
      </c>
      <c r="DI9" s="42" t="n">
        <f aca="false">IF(Tasks[[#This Row],[_Res2Text]]="",0,IFERROR(MATCH(TRIM(LEFT(Tasks[[#This Row],[_Res2Text]],FIND("[",Tasks[[#This Row],[_Res2Text]]&amp;"[")-1)),res_Name,0),IFERROR(MATCH(TRIM(LEFT(Tasks[[#This Row],[_Res2Text]],FIND("[",Tasks[[#This Row],[_Res2Text]]&amp;"[")-1)),res_Initials,0),0)))</f>
        <v>0</v>
      </c>
      <c r="DJ9" s="42" t="n">
        <f aca="false">IF(Tasks[[#This Row],[_Res3Text]]="",0,IFERROR(MATCH(TRIM(LEFT(Tasks[[#This Row],[_Res3Text]],FIND("[",Tasks[[#This Row],[_Res3Text]]&amp;"[")-1)),res_Name,0),IFERROR(MATCH(TRIM(LEFT(Tasks[[#This Row],[_Res3Text]],FIND("[",Tasks[[#This Row],[_Res3Text]]&amp;"[")-1)),res_Initials,0),0)))</f>
        <v>0</v>
      </c>
      <c r="DK9" s="42" t="n">
        <f aca="false">IF(Tasks[[#This Row],[_Res4Text]]="",0,IFERROR(MATCH(TRIM(LEFT(Tasks[[#This Row],[_Res4Text]],FIND("[",Tasks[[#This Row],[_Res4Text]]&amp;"[")-1)),res_Name,0),IFERROR(MATCH(TRIM(LEFT(Tasks[[#This Row],[_Res4Text]],FIND("[",Tasks[[#This Row],[_Res4Text]]&amp;"[")-1)),res_Initials,0),0)))</f>
        <v>0</v>
      </c>
      <c r="DL9" s="42" t="str">
        <f aca="false">IF(Tasks[[#This Row],[_Res1Text]]="","",IF(Tasks[[#This Row],[_Res1Row]]&gt;0,INDEX(res_Name,Tasks[[#This Row],[_Res1Row]]),TRIM(LEFT(Tasks[[#This Row],[_Res1Text]],FIND("[",Tasks[[#This Row],[_Res1Text]]&amp;"[")-1))))</f>
        <v/>
      </c>
      <c r="DM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 s="42" t="n">
        <f aca="false">IF(NOT(Tasks[[#This Row],[_IsLeaf]]=1),0,(Tasks[[#This Row],[_Resource1]]&lt;&gt;"")+(Tasks[[#This Row],[_Res2]]&lt;&gt;"")+(Tasks[[#This Row],[_Res3]]&lt;&gt;"")+(Tasks[[#This Row],[_Res4]]&lt;&gt;""))</f>
        <v>0</v>
      </c>
      <c r="DO9" s="42" t="str">
        <f aca="false">IF(Tasks[[#This Row],[_Res2Text]]="","",IF(Tasks[[#This Row],[_Res2Row]]&gt;0,INDEX(res_Name,Tasks[[#This Row],[_Res2Row]]),TRIM(LEFT(Tasks[[#This Row],[_Res2Text]],FIND("[",Tasks[[#This Row],[_Res2Text]]&amp;"[")-1))))</f>
        <v/>
      </c>
      <c r="DP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 s="42" t="n">
        <f aca="false">IF(OR(NOT(Tasks[[#This Row],[_IsLeaf]]=1),Tasks[[#This Row],[_Res2Row]]=0),0,N(Tasks[[#This Row],[_Days]])*HoursPerDay*IF(Tasks[[#This Row],[_Res2Units]]="",DefaultUnits,Tasks[[#This Row],[_Res2Units]]))</f>
        <v>0</v>
      </c>
      <c r="DR9" s="42" t="n">
        <f aca="false">IF(AND(AND(Tasks[[#This Row],[_IsLeaf]]=1,Tasks[[#This Row],[_LeafTotalWork]]&gt;0),Tasks[[#This Row],[_Res2Work]]&gt;0),Tasks[[#This Row],[_Res2Work]]/(Tasks[[#This Row],[_FinishWorkday]]-Tasks[[#This Row],[_StartWorkday]]+1),0)</f>
        <v>0</v>
      </c>
      <c r="DS9" s="42" t="n">
        <f aca="false">Tasks[[#This Row],[_Res2WorkPerWD]]*MAX(0,Tasks[[#This Row],[_StartWorkday]]-1)</f>
        <v>0</v>
      </c>
      <c r="DT9" s="42" t="n">
        <f aca="false">Tasks[[#This Row],[_Res2Work]]*Tasks[[#This Row],[_LeafProgress]]</f>
        <v>0</v>
      </c>
      <c r="DU9" s="42" t="str">
        <f aca="false">IF(Tasks[[#This Row],[_Res3Text]]="","",IF(Tasks[[#This Row],[_Res3Row]]&gt;0,INDEX(res_Name,Tasks[[#This Row],[_Res3Row]]),TRIM(LEFT(Tasks[[#This Row],[_Res3Text]],FIND("[",Tasks[[#This Row],[_Res3Text]]&amp;"[")-1))))</f>
        <v/>
      </c>
      <c r="DV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 s="42" t="n">
        <f aca="false">IF(OR(NOT(Tasks[[#This Row],[_IsLeaf]]=1),Tasks[[#This Row],[_Res3Row]]=0),0,N(Tasks[[#This Row],[_Days]])*HoursPerDay*IF(Tasks[[#This Row],[_Res3Units]]="",DefaultUnits,Tasks[[#This Row],[_Res3Units]]))</f>
        <v>0</v>
      </c>
      <c r="DX9" s="42" t="n">
        <f aca="false">IF(AND(AND(Tasks[[#This Row],[_IsLeaf]]=1,Tasks[[#This Row],[_LeafTotalWork]]&gt;0),Tasks[[#This Row],[_Res3Work]]&gt;0),Tasks[[#This Row],[_Res3Work]]/(Tasks[[#This Row],[_FinishWorkday]]-Tasks[[#This Row],[_StartWorkday]]+1),0)</f>
        <v>0</v>
      </c>
      <c r="DY9" s="42" t="n">
        <f aca="false">Tasks[[#This Row],[_Res3WorkPerWD]]*MAX(0,Tasks[[#This Row],[_StartWorkday]]-1)</f>
        <v>0</v>
      </c>
      <c r="DZ9" s="42" t="n">
        <f aca="false">Tasks[[#This Row],[_Res3Work]]*Tasks[[#This Row],[_LeafProgress]]</f>
        <v>0</v>
      </c>
      <c r="EA9" s="42" t="str">
        <f aca="false">IF(Tasks[[#This Row],[_Res4Text]]="","",IF(Tasks[[#This Row],[_Res4Row]]&gt;0,INDEX(res_Name,Tasks[[#This Row],[_Res4Row]]),TRIM(LEFT(Tasks[[#This Row],[_Res4Text]],FIND("[",Tasks[[#This Row],[_Res4Text]]&amp;"[")-1))))</f>
        <v/>
      </c>
      <c r="EB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 s="42" t="n">
        <f aca="false">IF(OR(NOT(Tasks[[#This Row],[_IsLeaf]]=1),Tasks[[#This Row],[_Res4Row]]=0),0,N(Tasks[[#This Row],[_Days]])*HoursPerDay*IF(Tasks[[#This Row],[_Res4Units]]="",DefaultUnits,Tasks[[#This Row],[_Res4Units]]))</f>
        <v>0</v>
      </c>
      <c r="ED9" s="42" t="n">
        <f aca="false">IF(AND(AND(Tasks[[#This Row],[_IsLeaf]]=1,Tasks[[#This Row],[_LeafTotalWork]]&gt;0),Tasks[[#This Row],[_Res4Work]]&gt;0),Tasks[[#This Row],[_Res4Work]]/(Tasks[[#This Row],[_FinishWorkday]]-Tasks[[#This Row],[_StartWorkday]]+1),0)</f>
        <v>0</v>
      </c>
      <c r="EE9" s="42" t="n">
        <f aca="false">Tasks[[#This Row],[_Res4WorkPerWD]]*MAX(0,Tasks[[#This Row],[_StartWorkday]]-1)</f>
        <v>0</v>
      </c>
      <c r="EF9" s="42" t="n">
        <f aca="false">Tasks[[#This Row],[_Res4Work]]*Tasks[[#This Row],[_LeafProgress]]</f>
        <v>0</v>
      </c>
      <c r="EG9" s="92" t="n">
        <f aca="false">IF(ISNUMBER(Tasks[[#This Row],[% Complete]]),Tasks[[#This Row],[% Complete]],IF(Tasks[[#This Row],[Stage]]="",0,IFERROR(INDEX(stg_Pct,MATCH(Tasks[[#This Row],[Stage]],stg_Name,0)),0)))</f>
        <v>1</v>
      </c>
      <c r="EH9" s="42" t="n">
        <f aca="false">IF(NOT(Tasks[[#This Row],[_IsLeaf]]=1),0,IF(N(Tasks[[#This Row],[Actual Finish]])&gt;0,1,MIN(1,Tasks[[#This Row],[_Pct]])))</f>
        <v>1</v>
      </c>
      <c r="EI9" s="42" t="n">
        <f aca="false">IF(OR(NOT(Tasks[[#This Row],[_IsLeaf]]=1),Tasks[[#This Row],[_Res1Row]]=0),0,N(Tasks[[#This Row],[_Days]])*HoursPerDay*IF(Tasks[[#This Row],[_Units1]]="",DefaultUnits,Tasks[[#This Row],[_Units1]]))</f>
        <v>0</v>
      </c>
      <c r="EJ9" s="42" t="n">
        <f aca="false">Tasks[[#This Row],[_LeafWork]]+Tasks[[#This Row],[_Res2Work]]+Tasks[[#This Row],[_Res3Work]]+Tasks[[#This Row],[_Res4Work]]</f>
        <v>0</v>
      </c>
      <c r="EK9"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 s="42" t="n">
        <f aca="false">IF(NOT(Tasks[[#This Row],[_IsLeaf]]=1),0,MAX(_xlfn.MAXIFS(Tasks[_Row],Tasks[_Pred1UID],Tasks[[#This Row],[UID]]),_xlfn.MAXIFS(Tasks[_Row],Tasks[_Pred2UID],Tasks[[#This Row],[UID]]),_xlfn.MAXIFS(Tasks[_Row],Tasks[_Pred3UID],Tasks[[#This Row],[UID]]),_xlfn.MAXIFS(Tasks[_Row],Tasks[_Pred4UID],Tasks[[#This Row],[UID]])))</f>
        <v>6</v>
      </c>
      <c r="ET9"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9"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9" s="89" t="n">
        <f aca="false">IF(NOT(Tasks[[#This Row],[_IsLeaf]]=1),"",IF(N(Tasks[[#This Row],[_Days]])&lt;=0,Tasks[[#This Row],[_LeafLateFinish]],WORKDAY.INTL(Tasks[[#This Row],[_LeafLateFinish]],-(Tasks[[#This Row],[_Days]]-1),WorkWeek,Holidays)))</f>
        <v>46282</v>
      </c>
      <c r="EW9"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9" s="88" t="b">
        <f aca="false">AND(Tasks[[#This Row],[_IsLeaf]]=1,Tasks[[#This Row],[_LeafProgress]]&lt;1,N(Tasks[[#This Row],[_LeafTotalSlack]])&lt;=CriticalSlackDays)</f>
        <v>0</v>
      </c>
      <c r="EY9" s="42" t="n">
        <f aca="false">IF(AND(Tasks[[#This Row],[_IsLeaf]]=1,Tasks[[#This Row],[_ConstraintCode]]=1,Tasks[[#This Row],[Mode]]&lt;&gt;"Manual",N(Tasks[[#This Row],[Actual Start]])=0),MAX(0,N(Tasks[[#This Row],[Free Slack]])),0)</f>
        <v>0</v>
      </c>
      <c r="EZ9" s="89" t="n">
        <f aca="false">IF(NOT(Tasks[[#This Row],[_IsLeaf]]=1),"",IF(Tasks[[#This Row],[_AlapShift]]=0,Tasks[[#This Row],[_LeafCalcStart]],WORKDAY.INTL(Tasks[[#This Row],[_LeafCalcStart]],Tasks[[#This Row],[_AlapShift]],WorkWeek,Holidays)))</f>
        <v>46276</v>
      </c>
      <c r="FA9" s="89" t="n">
        <f aca="false">IF(NOT(Tasks[[#This Row],[_IsLeaf]]=1),"",IF(Tasks[[#This Row],[_AlapShift]]=0,Tasks[[#This Row],[_LeafCalcFinish]],WORKDAY.INTL(Tasks[[#This Row],[_LeafCalcFinish]],Tasks[[#This Row],[_AlapShift]],WorkWeek,Holidays)))</f>
        <v>46276</v>
      </c>
      <c r="FB9" s="89" t="n">
        <f aca="false">IF(NOT(Tasks[[#This Row],[_IsLeaf]]=1),"",IF(Tasks[[#This Row],[_AlapShift]]=0,Tasks[[#This Row],[_LeafFcstStart]],WORKDAY.INTL(Tasks[[#This Row],[_LeafFcstStart]],Tasks[[#This Row],[_AlapShift]],WorkWeek,Holidays)))</f>
        <v>46279</v>
      </c>
      <c r="FC9" s="89" t="n">
        <f aca="false">IF(NOT(Tasks[[#This Row],[_IsLeaf]]=1),"",IF(Tasks[[#This Row],[_AlapShift]]=0,Tasks[[#This Row],[_LeafFcstFinish]],WORKDAY.INTL(Tasks[[#This Row],[_LeafFcstFinish]],Tasks[[#This Row],[_AlapShift]],WorkWeek,Holidays)))</f>
        <v>46279</v>
      </c>
      <c r="FD9" s="89" t="n">
        <f aca="false">IF(Tasks[[#This Row],[Task Name]]="","",IF(Tasks[[#This Row],[_IsSummary]],MIN(INDEX(Tasks[_ShownCalcStart],Tasks[[#This Row],[_Row]]+1):INDEX(Tasks[_ShownCalcStart],Tasks[[#This Row],[_Row]]+Tasks[[#This Row],[_Descendants]])),Tasks[[#This Row],[_ShownCalcStart]]))</f>
        <v>46276</v>
      </c>
      <c r="FE9" s="89" t="n">
        <f aca="false">IF(Tasks[[#This Row],[Task Name]]="","",IF(Tasks[[#This Row],[_IsSummary]],MAX(INDEX(Tasks[_ShownCalcFinish],Tasks[[#This Row],[_Row]]+1):INDEX(Tasks[_ShownCalcFinish],Tasks[[#This Row],[_Row]]+Tasks[[#This Row],[_Descendants]])),Tasks[[#This Row],[_ShownCalcFinish]]))</f>
        <v>46276</v>
      </c>
      <c r="FF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K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O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 s="42" t="n">
        <f aca="false">IF(AND(Tasks[[#This Row],[_IsLeaf]]=1,Tasks[[#This Row],[_LeafTotalWork]]&gt;0),NETWORKDAYS.INTL(ProjectStart,Tasks[[#This Row],[_ShownFcstStart]],WorkWeek,Holidays),0)</f>
        <v>0</v>
      </c>
      <c r="FS9" s="42" t="n">
        <f aca="false">IF(AND(Tasks[[#This Row],[_IsLeaf]]=1,Tasks[[#This Row],[_LeafTotalWork]]&gt;0),MAX(Tasks[[#This Row],[_StartWorkday]],NETWORKDAYS.INTL(ProjectStart,Tasks[[#This Row],[_ShownFcstFinish]],WorkWeek,Holidays)),0)</f>
        <v>0</v>
      </c>
      <c r="FT9" s="42" t="n">
        <f aca="false">IF(AND(Tasks[[#This Row],[_IsLeaf]]=1,Tasks[[#This Row],[_LeafTotalWork]]&gt;0),Tasks[[#This Row],[_LeafWork]]/(Tasks[[#This Row],[_FinishWorkday]]-Tasks[[#This Row],[_StartWorkday]]+1),0)</f>
        <v>0</v>
      </c>
      <c r="FU9" s="42" t="n">
        <f aca="false">Tasks[[#This Row],[_WorkPerWorkday]]*(Tasks[[#This Row],[_StartWorkday]]-1)</f>
        <v>-0</v>
      </c>
      <c r="FV9" s="42" t="n">
        <f aca="false">IF(Tasks[[#This Row],[_IsLeaf]]=1,MAX(N(Tasks[[#This Row],[_Days]]),0.1),0)</f>
        <v>0.1</v>
      </c>
      <c r="FW9" s="42" t="n">
        <f aca="false">Tasks[[#This Row],[_WeightDur]]*Tasks[[#This Row],[_LeafProgress]]</f>
        <v>0.1</v>
      </c>
      <c r="FX9" s="42" t="n">
        <f aca="false">Tasks[[#This Row],[_WeightDur]]*Tasks[[#This Row],[_PlannedPct]]</f>
        <v>0.1</v>
      </c>
      <c r="FY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Z9" s="42" t="str">
        <f aca="false">IF(AND(Tasks[[#This Row],[_IsLeaf]]=1,N(Tasks[[#This Row],[_Days]])=0,Tasks[[#This Row],[_LeafProgress]]&lt;1),Tasks[[#This Row],[_ShownFcstFinish]]+Tasks[[#This Row],[_Row]]/100000,"")</f>
        <v/>
      </c>
      <c r="GA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9" s="42" t="str">
        <f aca="false">IF(Tasks[[#This Row],[Task Name]]="","",LEFT(Tasks[[#This Row],[WBS]],FIND(".",Tasks[[#This Row],[WBS]]&amp;".")-1))</f>
        <v>1</v>
      </c>
      <c r="GC9" s="42" t="str">
        <f aca="false">IF(AND(Tasks[[#This Row],[Task Name]]&lt;&gt;"",Tasks[[#This Row],[_Level]]=1),Tasks[[#This Row],[_Row]],"")</f>
        <v/>
      </c>
      <c r="GD9" s="93" t="n">
        <f aca="false">IF(AND(Tasks[[#This Row],[_IsLeaf]]=1,N(Tasks[[#This Row],[_Days]])=0),Tasks[[#This Row],[Planned Finish]]+Tasks[[#This Row],[_Row]]/100000,"")</f>
        <v>46276.00004</v>
      </c>
      <c r="GE9" s="42" t="str">
        <f aca="false">IF(AND(Tasks[[#This Row],[_IsLeaf]]=1,Tasks[[#This Row],[_LeafProgress]]&lt;1,OR(N(Tasks[[#This Row],[Finish Var]])&gt;0,Tasks[[#This Row],[Status]]="Late Start")),MAX(0,Tasks[[#This Row],[Finish Var]])+1-Tasks[[#This Row],[_Row]]/1000000,"")</f>
        <v/>
      </c>
      <c r="GF9" s="42" t="str">
        <f aca="false">IF(AND(Tasks[[#This Row],[_IsLeaf]]=1,N(Tasks[[#This Row],[Actual Start]])=0,Tasks[[#This Row],[_ShownFcstStart]]&gt;=StatusDate,Tasks[[#This Row],[_ShownFcstStart]]&lt;=LookaheadEnd),Tasks[[#This Row],[_ShownFcstStart]]+Tasks[[#This Row],[_Row]]/100000,"")</f>
        <v/>
      </c>
      <c r="GG9" s="42" t="str">
        <f aca="false">IF(AND(Tasks[[#This Row],[_IsLeaf]]=1,Tasks[[#This Row],[_LeafProgress]]&lt;1,Tasks[[#This Row],[_ShownFcstFinish]]&gt;=StatusDate,Tasks[[#This Row],[_ShownFcstFinish]]&lt;=LookaheadEnd),Tasks[[#This Row],[_ShownFcstFinish]]+Tasks[[#This Row],[_Row]]/100000,"")</f>
        <v/>
      </c>
      <c r="GH9" s="42" t="str">
        <f aca="false">IF(Tasks[[#This Row],[_LeafCritical]],Tasks[[#This Row],[_ShownFcstStart]]+Tasks[[#This Row],[_Row]]/100000,"")</f>
        <v/>
      </c>
      <c r="GI9" s="42" t="n">
        <f aca="false">Tasks[[#This Row],[_LeafWork]]*Tasks[[#This Row],[_LeafProgress]]</f>
        <v>0</v>
      </c>
      <c r="GJ9" s="89" t="n">
        <f aca="false">IF(AND(Tasks[[#This Row],[_IsLeaf]]=1,Tasks[[#This Row],[_LeafProgress]]&gt;=1),IF(N(Tasks[[#This Row],[Actual Finish]])&gt;0,Tasks[[#This Row],[Actual Finish]],Tasks[[#This Row],[_ShownFcstFinish]]),"")</f>
        <v>46279</v>
      </c>
      <c r="GK9" s="42" t="n">
        <f aca="false">IF(Tasks[[#This Row],[_IsLeaf]]=1,N(Tasks[[#This Row],[Story Points]]),0)</f>
        <v>0</v>
      </c>
      <c r="GL9" s="42" t="str">
        <f aca="false">""</f>
        <v/>
      </c>
      <c r="GM9" s="88" t="b">
        <f aca="false">IF(Tasks[[#This Row],[Task Name]]="",FALSE(),AND(Tasks[[#This Row],[_IsLeaf]]=1,N(Tasks[[#This Row],[_Days]])=0))</f>
        <v>1</v>
      </c>
      <c r="GN9" s="89" t="n">
        <f aca="false">IF(Tasks[[#This Row],[Task Name]]="",0,IF(AND(Tasks[[#This Row],[_IsLeaf]]=1,NOT(Tasks[[#This Row],[_IsMilestone]]),N(Tasks[[#This Row],[Progress]])&gt;0),Tasks[[#This Row],[Start]],0))</f>
        <v>0</v>
      </c>
      <c r="GO9" s="89" t="n">
        <f aca="false">IF(Tasks[[#This Row],[_DoneFrom]]=0,0,IF(Tasks[[#This Row],[Progress]]&gt;=1,Tasks[[#This Row],[Finish]],MAX(Tasks[[#This Row],[_DoneFrom]],Tasks[[#This Row],[Start]]+ROUND((Tasks[[#This Row],[Finish]]-Tasks[[#This Row],[Start]]+1)*Tasks[[#This Row],[Progress]],0)-1)))</f>
        <v>0</v>
      </c>
      <c r="GP9" s="89" t="n">
        <f aca="false">IF(Tasks[[#This Row],[Task Name]]="",0,IF(OR(NOT(Tasks[[#This Row],[_IsLeaf]]=1),Tasks[[#This Row],[_IsMilestone]],N(Tasks[[#This Row],[Progress]])&gt;=1),0,IF(Tasks[[#This Row],[_DoneTo]]&gt;0,Tasks[[#This Row],[_DoneTo]]+1,Tasks[[#This Row],[Start]])))</f>
        <v>0</v>
      </c>
      <c r="GQ9" s="89" t="n">
        <f aca="false">IF(Tasks[[#This Row],[_RemFrom]]=0,0,Tasks[[#This Row],[Finish]])</f>
        <v>0</v>
      </c>
      <c r="GR9" s="88" t="b">
        <f aca="false">IF(Tasks[[#This Row],[Task Name]]="",FALSE(),OR(NOT(BaselineSet),N(Tasks[[#This Row],[Baseline Start]])&gt;0))</f>
        <v>1</v>
      </c>
      <c r="GS9"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GU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 s="90" t="n">
        <f aca="false">IF(Tasks[[#This Row],[_IsLeaf]]=1,Tasks[[#This Row],[_Row]],"")</f>
        <v>4</v>
      </c>
      <c r="GW9" s="90" t="str">
        <f aca="false">IFERROR(INDEX(Tasks[UID],SMALL(Tasks[_PickKey],Tasks[[#This Row],[_Row]]))&amp;" "&amp;INDEX(Tasks[Task Name],SMALL(Tasks[_PickKey],Tasks[[#This Row],[_Row]])),"")</f>
        <v>6 Requirements gathering</v>
      </c>
      <c r="GX9" s="42" t="n">
        <f aca="false">IF(Tasks[[#This Row],[Task Name]]="","",IF(Tasks[[#This Row],[_IsSummary]],NETWORKDAYS.INTL(Tasks[[#This Row],[Start]],Tasks[[#This Row],[Finish]],WorkWeek,Holidays),N(Tasks[[#This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616</v>
      </c>
      <c r="E10" s="22"/>
      <c r="F10" s="23"/>
      <c r="G10" s="22"/>
      <c r="H10" s="22"/>
      <c r="I10" s="23"/>
      <c r="J10" s="22"/>
      <c r="K10" s="22"/>
      <c r="L10" s="23"/>
      <c r="M10" s="22"/>
      <c r="N10" s="22"/>
      <c r="O10" s="23"/>
      <c r="P10" s="22"/>
      <c r="Q10" s="22"/>
      <c r="R10" s="23"/>
      <c r="S10" s="23"/>
      <c r="T10" s="83"/>
      <c r="U10" s="23"/>
      <c r="V10" s="83"/>
      <c r="W10" s="23"/>
      <c r="X10" s="83"/>
      <c r="Y10" s="23"/>
      <c r="Z10" s="83"/>
      <c r="AA10" s="23"/>
      <c r="AB10" s="23"/>
      <c r="AC10" s="7"/>
      <c r="AD10" s="7"/>
      <c r="AE10" s="62" t="n">
        <f aca="false">IF(Tasks[[#This Row],[Task Name]]="","",IF(Tasks[[#This Row],[_IsSummary]],MIN(INDEX(Tasks[_ShownFcstStart],Tasks[[#This Row],[_Row]]+1):INDEX(Tasks[_ShownFcstStart],Tasks[[#This Row],[_Row]]+Tasks[[#This Row],[_Descendants]])),Tasks[[#This Row],[_ShownFcstStart]]))</f>
        <v>46280</v>
      </c>
      <c r="AF10" s="62"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 s="7"/>
      <c r="AK10" s="22" t="s">
        <v>235</v>
      </c>
      <c r="AL10" s="23"/>
      <c r="AM10" s="7"/>
      <c r="AN10" s="46"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2" t="n">
        <f aca="false">IF(Tasks[[#This Row],[Task Name]]="","",IF(N(Tasks[[#This Row],[Baseline Start]])&gt;0,Tasks[[#This Row],[Baseline Start]],Tasks[[#This Row],[_CalcStart]]))</f>
        <v>46279</v>
      </c>
      <c r="AR10" s="62" t="n">
        <f aca="false">IF(Tasks[[#This Row],[Task Name]]="","",IF(N(Tasks[[#This Row],[Baseline Finish]])&gt;0,Tasks[[#This Row],[Baseline Finish]],Tasks[[#This Row],[_CalcFinish]]))</f>
        <v>46296</v>
      </c>
      <c r="AS10" s="46" t="n">
        <f aca="false">IF(Tasks[[#This Row],[Task Name]]="","",IF(Tasks[[#This Row],[Start]]&gt;=Tasks[[#This Row],[Planned Start]],NETWORKDAYS.INTL(Tasks[[#This Row],[Planned Start]],Tasks[[#This Row],[Start]],WorkWeek,Holidays)-1,1-NETWORKDAYS.INTL(Tasks[[#This Row],[Start]],Tasks[[#This Row],[Planned Start]],WorkWeek,Holidays)))</f>
        <v>1</v>
      </c>
      <c r="AT10" s="62" t="n">
        <f aca="false">IF(Tasks[[#This Row],[Task Name]]="","",IF(Tasks[[#This Row],[_IsSummary]],MIN(INDEX(Tasks[_LeafLateStart],Tasks[[#This Row],[_Row]]+1):INDEX(Tasks[_LeafLateStart],Tasks[[#This Row],[_Row]]+Tasks[[#This Row],[_Descendants]])),Tasks[[#This Row],[_LeafLateStart]]))</f>
        <v>46283</v>
      </c>
      <c r="AU10" s="62" t="n">
        <f aca="false">IF(Tasks[[#This Row],[Task Name]]="","",IF(Tasks[[#This Row],[_IsSummary]],MAX(INDEX(Tasks[_LeafLateFinish],Tasks[[#This Row],[_Row]]+1):INDEX(Tasks[_LeafLateFinish],Tasks[[#This Row],[_Row]]+Tasks[[#This Row],[_Descendants]])),Tasks[[#This Row],[_LeafLateFinish]]))</f>
        <v>46302</v>
      </c>
      <c r="AV10" s="46"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4"/>
      <c r="BA10"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5" t="n">
        <f aca="false">IF(Tasks[[#This Row],[Task Name]]="","",IF(Tasks[[#This Row],[_IsSummary]],SUM(INDEX(Tasks[_LeafTotalWork],Tasks[[#This Row],[_Row]]+1):INDEX(Tasks[_LeafTotalWork],Tasks[[#This Row],[_Row]]+Tasks[[#This Row],[_Descendants]])),Tasks[[#This Row],[_LeafTotalWork]]))</f>
        <v>112</v>
      </c>
      <c r="BF10" s="23" t="s">
        <v>613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6"/>
      <c r="BJ10" s="22"/>
      <c r="BK10" s="46" t="n">
        <f aca="false">IF(OR(Tasks[[#This Row],[Task Name]]="",Tasks[[#This Row],[Baseline Duration]]=""),"",Tasks[[#This Row],[_SpanDays]]-N(Tasks[[#This Row],[Baseline Duration]]))</f>
        <v>2</v>
      </c>
      <c r="BL10" s="85" t="n">
        <f aca="false">IF(OR(Tasks[[#This Row],[Task Name]]="",Tasks[[#This Row],[Baseline Work]]=""),"",Tasks[[#This Row],[Work]]-N(Tasks[[#This Row],[Baseline Work]]))</f>
        <v>0</v>
      </c>
      <c r="BM10" s="62" t="n">
        <f aca="false">IF(Tasks[[#This Row],[Task Name]]="","",IF(OR(TakeBaseline="Yes",N(Tasks[[#This Row],[Baseline Start]])=0),Tasks[[#This Row],[Start]],Tasks[[#This Row],[Baseline Start]]))</f>
        <v>46279</v>
      </c>
      <c r="BN10" s="62"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5" t="n">
        <f aca="false">IF(Tasks[[#This Row],[Task Name]]="","",IF(OR(TakeBaseline="Yes",N(Tasks[[#This Row],[Baseline Work]])=0),Tasks[[#This Row],[Work]],Tasks[[#This Row],[Baseline Work]]))</f>
        <v>112</v>
      </c>
      <c r="BQ10" s="7" t="n">
        <v>46279</v>
      </c>
      <c r="BR10" s="7" t="n">
        <v>46296</v>
      </c>
      <c r="BS10" s="22" t="n">
        <v>14</v>
      </c>
      <c r="BT10" s="87" t="n">
        <v>112</v>
      </c>
      <c r="BU10" s="42" t="n">
        <f aca="false">IF(Tasks[[#This Row],[Task Name]]="","",MAX(1,N(Tasks[[#This Row],[Level]])))</f>
        <v>1</v>
      </c>
      <c r="BV10" s="42" t="n">
        <f aca="false">ROW()-ROW(Tasks[[#Headers],[ID]])</f>
        <v>5</v>
      </c>
      <c r="BW10" s="42" t="n">
        <f aca="false">IF(OR(Tasks[[#This Row],[Task Name]]="",Tasks[[#This Row],[_Level]]&lt;=1),0,IFERROR(LOOKUP(2,1/(Tasks[[#Headers],[_Level]]:Tasks[[#This Row],[_Level]]=Tasks[[#This Row],[_Level]]-1),ROW(Tasks[[#Headers],[_Level]]:Tasks[[#This Row],[_Level]])),0))</f>
        <v>0</v>
      </c>
      <c r="BX10" s="42" t="n">
        <f aca="false">IFERROR(N(INDEX(Tasks[_Level],Tasks[[#This Row],[_Row]]+1)),0)</f>
        <v>2</v>
      </c>
      <c r="BY10" s="88" t="b">
        <f aca="false">AND(Tasks[[#This Row],[Task Name]]&lt;&gt;"",Tasks[[#This Row],[_NextLevel]]&gt;Tasks[[#This Row],[_Level]])</f>
        <v>1</v>
      </c>
      <c r="BZ10" s="42" t="n">
        <f aca="false">IF(Tasks[[#This Row],[_IsSummary]],COUNTIF(Tasks[WBS],Tasks[[#This Row],[WBS]]&amp;".*"),0)</f>
        <v>3</v>
      </c>
      <c r="CA10" s="42" t="n">
        <f aca="false">IF(AND(Tasks[[#This Row],[Task Name]]&lt;&gt;"",NOT(Tasks[[#This Row],[_IsSummary]])),1,0)</f>
        <v>0</v>
      </c>
      <c r="CB10" s="42" t="n">
        <f aca="false">IF(N(Tasks[[#This Row],[_Pred1UID]])=0,0,IFERROR(MATCH(Tasks[[#This Row],[_Pred1UID]],Tasks[UID],0),-1))</f>
        <v>0</v>
      </c>
      <c r="CC10" s="42" t="n">
        <f aca="false">IF(N(Tasks[[#This Row],[_Pred2UID]])=0,0,IFERROR(MATCH(Tasks[[#This Row],[_Pred2UID]],Tasks[UID],0),-1))</f>
        <v>0</v>
      </c>
      <c r="CD10" s="42" t="n">
        <f aca="false">IF(N(Tasks[[#This Row],[_Pred3UID]])=0,0,IFERROR(MATCH(Tasks[[#This Row],[_Pred3UID]],Tasks[UID],0),-1))</f>
        <v>0</v>
      </c>
      <c r="CE10" s="42" t="n">
        <f aca="false">IF(N(Tasks[[#This Row],[_Pred4UID]])=0,0,IFERROR(MATCH(Tasks[[#This Row],[_Pred4UID]],Tasks[UID],0),-1))</f>
        <v>0</v>
      </c>
      <c r="CF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 s="89" t="n">
        <f aca="false">IF(OR(Tasks[[#This Row],[_ConstraintCode]]=2,Tasks[[#This Row],[_ConstraintCode]]=3,Tasks[[#This Row],[_ConstraintCode]]=4,Tasks[[#This Row],[_ConstraintCode]]=6),Tasks[[#This Row],[_ConstraintStart]],0)</f>
        <v>0</v>
      </c>
      <c r="CI10" s="89" t="n">
        <f aca="false">IF(OR(Tasks[[#This Row],[_ConstraintCode]]=2,Tasks[[#This Row],[_ConstraintCode]]=3,Tasks[[#This Row],[_ConstraintCode]]=5,Tasks[[#This Row],[_ConstraintCode]]=7),Tasks[[#This Row],[_ConstraintStart]],2958465)</f>
        <v>2958465</v>
      </c>
      <c r="CJ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 s="89" t="str">
        <f aca="false">IF(NOT(Tasks[[#This Row],[_IsLeaf]]=1),"",IF(N(Tasks[[#This Row],[_Days]])&lt;=0,Tasks[[#This Row],[_LeafCalcStart]],WORKDAY.INTL(Tasks[[#This Row],[_LeafCalcStart]],Tasks[[#This Row],[_Days]]-1,WorkWeek,Holidays)))</f>
        <v/>
      </c>
      <c r="CL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 s="42" t="str">
        <f aca="false">IF(Tasks[[#This Row],[_Predecessors]]="","",TRIM(MID(SUBSTITUTE(SUBSTITUTE(SUBSTITUTE(UPPER(Tasks[[#This Row],[_Predecessors]]),";",",")," ",""),",",REPT(" ",99)),1,99)))</f>
        <v/>
      </c>
      <c r="CO10" s="42" t="str">
        <f aca="false">IF(Tasks[[#This Row],[_Pred1Text]]="","",IFERROR(VALUE(LEFT(Tasks[[#This Row],[_Pred1Text]],MIN(FIND("F",Tasks[[#This Row],[_Pred1Text]]&amp;"F"),FIND("S",Tasks[[#This Row],[_Pred1Text]]&amp;"S"),FIND("+",Tasks[[#This Row],[_Pred1Text]]&amp;"+"),FIND("-",Tasks[[#This Row],[_Pred1Text]]&amp;"-"))-1)),""))</f>
        <v/>
      </c>
      <c r="CP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 s="42" t="str">
        <f aca="false">IF(Tasks[[#This Row],[_Pred1Text]]="","",TRIM(MID(SUBSTITUTE(SUBSTITUTE(SUBSTITUTE(UPPER(Tasks[[#This Row],[_Predecessors]]),";",",")," ",""),",",REPT(" ",99)),100,99)))</f>
        <v/>
      </c>
      <c r="CS10" s="42" t="str">
        <f aca="false">IF(Tasks[[#This Row],[_Pred2Text]]="","",IFERROR(VALUE(LEFT(Tasks[[#This Row],[_Pred2Text]],MIN(FIND("F",Tasks[[#This Row],[_Pred2Text]]&amp;"F"),FIND("S",Tasks[[#This Row],[_Pred2Text]]&amp;"S"),FIND("+",Tasks[[#This Row],[_Pred2Text]]&amp;"+"),FIND("-",Tasks[[#This Row],[_Pred2Text]]&amp;"-"))-1)),""))</f>
        <v/>
      </c>
      <c r="CT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 s="42" t="str">
        <f aca="false">IF(Tasks[[#This Row],[_Pred2Text]]="","",TRIM(MID(SUBSTITUTE(SUBSTITUTE(SUBSTITUTE(UPPER(Tasks[[#This Row],[_Predecessors]]),";",",")," ",""),",",REPT(" ",99)),199,99)))</f>
        <v/>
      </c>
      <c r="CW10" s="42" t="str">
        <f aca="false">IF(Tasks[[#This Row],[_Pred3Text]]="","",IFERROR(VALUE(LEFT(Tasks[[#This Row],[_Pred3Text]],MIN(FIND("F",Tasks[[#This Row],[_Pred3Text]]&amp;"F"),FIND("S",Tasks[[#This Row],[_Pred3Text]]&amp;"S"),FIND("+",Tasks[[#This Row],[_Pred3Text]]&amp;"+"),FIND("-",Tasks[[#This Row],[_Pred3Text]]&amp;"-"))-1)),""))</f>
        <v/>
      </c>
      <c r="CX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 s="42" t="str">
        <f aca="false">IF(Tasks[[#This Row],[_Pred3Text]]="","",TRIM(MID(SUBSTITUTE(SUBSTITUTE(SUBSTITUTE(UPPER(Tasks[[#This Row],[_Predecessors]]),";",",")," ",""),",",REPT(" ",99)),298,99)))</f>
        <v/>
      </c>
      <c r="DA10" s="42" t="str">
        <f aca="false">IF(Tasks[[#This Row],[_Pred4Text]]="","",IFERROR(VALUE(LEFT(Tasks[[#This Row],[_Pred4Text]],MIN(FIND("F",Tasks[[#This Row],[_Pred4Text]]&amp;"F"),FIND("S",Tasks[[#This Row],[_Pred4Text]]&amp;"S"),FIND("+",Tasks[[#This Row],[_Pred4Text]]&amp;"+"),FIND("-",Tasks[[#This Row],[_Pred4Text]]&amp;"-"))-1)),""))</f>
        <v/>
      </c>
      <c r="DB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 s="42" t="str">
        <f aca="false">IF(OR(Tasks[[#This Row],[Task Name]]="",Tasks[[#This Row],[_Resources]]=""),"",TRIM(MID(SUBSTITUTE(Tasks[[#This Row],[_Resources]],",",REPT(" ",99)),1,99)))</f>
        <v/>
      </c>
      <c r="DE10" s="42" t="str">
        <f aca="false">IF(Tasks[[#This Row],[_Res1Text]]="","",TRIM(MID(SUBSTITUTE(Tasks[[#This Row],[_Resources]],",",REPT(" ",99)),100,99)))</f>
        <v/>
      </c>
      <c r="DF10" s="42" t="str">
        <f aca="false">IF(Tasks[[#This Row],[_Res2Text]]="","",TRIM(MID(SUBSTITUTE(Tasks[[#This Row],[_Resources]],",",REPT(" ",99)),199,99)))</f>
        <v/>
      </c>
      <c r="DG10" s="42" t="str">
        <f aca="false">IF(Tasks[[#This Row],[_Res3Text]]="","",TRIM(MID(SUBSTITUTE(Tasks[[#This Row],[_Resources]],",",REPT(" ",99)),298,99)))</f>
        <v/>
      </c>
      <c r="DH10" s="42" t="n">
        <f aca="false">IF(Tasks[[#This Row],[_Res1Text]]="",0,IFERROR(MATCH(TRIM(LEFT(Tasks[[#This Row],[_Res1Text]],FIND("[",Tasks[[#This Row],[_Res1Text]]&amp;"[")-1)),res_Name,0),IFERROR(MATCH(TRIM(LEFT(Tasks[[#This Row],[_Res1Text]],FIND("[",Tasks[[#This Row],[_Res1Text]]&amp;"[")-1)),res_Initials,0),0)))</f>
        <v>0</v>
      </c>
      <c r="DI10" s="42" t="n">
        <f aca="false">IF(Tasks[[#This Row],[_Res2Text]]="",0,IFERROR(MATCH(TRIM(LEFT(Tasks[[#This Row],[_Res2Text]],FIND("[",Tasks[[#This Row],[_Res2Text]]&amp;"[")-1)),res_Name,0),IFERROR(MATCH(TRIM(LEFT(Tasks[[#This Row],[_Res2Text]],FIND("[",Tasks[[#This Row],[_Res2Text]]&amp;"[")-1)),res_Initials,0),0)))</f>
        <v>0</v>
      </c>
      <c r="DJ10" s="42" t="n">
        <f aca="false">IF(Tasks[[#This Row],[_Res3Text]]="",0,IFERROR(MATCH(TRIM(LEFT(Tasks[[#This Row],[_Res3Text]],FIND("[",Tasks[[#This Row],[_Res3Text]]&amp;"[")-1)),res_Name,0),IFERROR(MATCH(TRIM(LEFT(Tasks[[#This Row],[_Res3Text]],FIND("[",Tasks[[#This Row],[_Res3Text]]&amp;"[")-1)),res_Initials,0),0)))</f>
        <v>0</v>
      </c>
      <c r="DK10" s="42" t="n">
        <f aca="false">IF(Tasks[[#This Row],[_Res4Text]]="",0,IFERROR(MATCH(TRIM(LEFT(Tasks[[#This Row],[_Res4Text]],FIND("[",Tasks[[#This Row],[_Res4Text]]&amp;"[")-1)),res_Name,0),IFERROR(MATCH(TRIM(LEFT(Tasks[[#This Row],[_Res4Text]],FIND("[",Tasks[[#This Row],[_Res4Text]]&amp;"[")-1)),res_Initials,0),0)))</f>
        <v>0</v>
      </c>
      <c r="DL10" s="42" t="str">
        <f aca="false">IF(Tasks[[#This Row],[_Res1Text]]="","",IF(Tasks[[#This Row],[_Res1Row]]&gt;0,INDEX(res_Name,Tasks[[#This Row],[_Res1Row]]),TRIM(LEFT(Tasks[[#This Row],[_Res1Text]],FIND("[",Tasks[[#This Row],[_Res1Text]]&amp;"[")-1))))</f>
        <v/>
      </c>
      <c r="DM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 s="42" t="n">
        <f aca="false">IF(NOT(Tasks[[#This Row],[_IsLeaf]]=1),0,(Tasks[[#This Row],[_Resource1]]&lt;&gt;"")+(Tasks[[#This Row],[_Res2]]&lt;&gt;"")+(Tasks[[#This Row],[_Res3]]&lt;&gt;"")+(Tasks[[#This Row],[_Res4]]&lt;&gt;""))</f>
        <v>0</v>
      </c>
      <c r="DO10" s="42" t="str">
        <f aca="false">IF(Tasks[[#This Row],[_Res2Text]]="","",IF(Tasks[[#This Row],[_Res2Row]]&gt;0,INDEX(res_Name,Tasks[[#This Row],[_Res2Row]]),TRIM(LEFT(Tasks[[#This Row],[_Res2Text]],FIND("[",Tasks[[#This Row],[_Res2Text]]&amp;"[")-1))))</f>
        <v/>
      </c>
      <c r="DP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 s="42" t="n">
        <f aca="false">IF(OR(NOT(Tasks[[#This Row],[_IsLeaf]]=1),Tasks[[#This Row],[_Res2Row]]=0),0,N(Tasks[[#This Row],[_Days]])*HoursPerDay*IF(Tasks[[#This Row],[_Res2Units]]="",DefaultUnits,Tasks[[#This Row],[_Res2Units]]))</f>
        <v>0</v>
      </c>
      <c r="DR10" s="42" t="n">
        <f aca="false">IF(AND(AND(Tasks[[#This Row],[_IsLeaf]]=1,Tasks[[#This Row],[_LeafTotalWork]]&gt;0),Tasks[[#This Row],[_Res2Work]]&gt;0),Tasks[[#This Row],[_Res2Work]]/(Tasks[[#This Row],[_FinishWorkday]]-Tasks[[#This Row],[_StartWorkday]]+1),0)</f>
        <v>0</v>
      </c>
      <c r="DS10" s="42" t="n">
        <f aca="false">Tasks[[#This Row],[_Res2WorkPerWD]]*MAX(0,Tasks[[#This Row],[_StartWorkday]]-1)</f>
        <v>0</v>
      </c>
      <c r="DT10" s="42" t="n">
        <f aca="false">Tasks[[#This Row],[_Res2Work]]*Tasks[[#This Row],[_LeafProgress]]</f>
        <v>0</v>
      </c>
      <c r="DU10" s="42" t="str">
        <f aca="false">IF(Tasks[[#This Row],[_Res3Text]]="","",IF(Tasks[[#This Row],[_Res3Row]]&gt;0,INDEX(res_Name,Tasks[[#This Row],[_Res3Row]]),TRIM(LEFT(Tasks[[#This Row],[_Res3Text]],FIND("[",Tasks[[#This Row],[_Res3Text]]&amp;"[")-1))))</f>
        <v/>
      </c>
      <c r="DV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 s="42" t="n">
        <f aca="false">IF(OR(NOT(Tasks[[#This Row],[_IsLeaf]]=1),Tasks[[#This Row],[_Res3Row]]=0),0,N(Tasks[[#This Row],[_Days]])*HoursPerDay*IF(Tasks[[#This Row],[_Res3Units]]="",DefaultUnits,Tasks[[#This Row],[_Res3Units]]))</f>
        <v>0</v>
      </c>
      <c r="DX10" s="42" t="n">
        <f aca="false">IF(AND(AND(Tasks[[#This Row],[_IsLeaf]]=1,Tasks[[#This Row],[_LeafTotalWork]]&gt;0),Tasks[[#This Row],[_Res3Work]]&gt;0),Tasks[[#This Row],[_Res3Work]]/(Tasks[[#This Row],[_FinishWorkday]]-Tasks[[#This Row],[_StartWorkday]]+1),0)</f>
        <v>0</v>
      </c>
      <c r="DY10" s="42" t="n">
        <f aca="false">Tasks[[#This Row],[_Res3WorkPerWD]]*MAX(0,Tasks[[#This Row],[_StartWorkday]]-1)</f>
        <v>0</v>
      </c>
      <c r="DZ10" s="42" t="n">
        <f aca="false">Tasks[[#This Row],[_Res3Work]]*Tasks[[#This Row],[_LeafProgress]]</f>
        <v>0</v>
      </c>
      <c r="EA10" s="42" t="str">
        <f aca="false">IF(Tasks[[#This Row],[_Res4Text]]="","",IF(Tasks[[#This Row],[_Res4Row]]&gt;0,INDEX(res_Name,Tasks[[#This Row],[_Res4Row]]),TRIM(LEFT(Tasks[[#This Row],[_Res4Text]],FIND("[",Tasks[[#This Row],[_Res4Text]]&amp;"[")-1))))</f>
        <v/>
      </c>
      <c r="EB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 s="42" t="n">
        <f aca="false">IF(OR(NOT(Tasks[[#This Row],[_IsLeaf]]=1),Tasks[[#This Row],[_Res4Row]]=0),0,N(Tasks[[#This Row],[_Days]])*HoursPerDay*IF(Tasks[[#This Row],[_Res4Units]]="",DefaultUnits,Tasks[[#This Row],[_Res4Units]]))</f>
        <v>0</v>
      </c>
      <c r="ED10" s="42" t="n">
        <f aca="false">IF(AND(AND(Tasks[[#This Row],[_IsLeaf]]=1,Tasks[[#This Row],[_LeafTotalWork]]&gt;0),Tasks[[#This Row],[_Res4Work]]&gt;0),Tasks[[#This Row],[_Res4Work]]/(Tasks[[#This Row],[_FinishWorkday]]-Tasks[[#This Row],[_StartWorkday]]+1),0)</f>
        <v>0</v>
      </c>
      <c r="EE10" s="42" t="n">
        <f aca="false">Tasks[[#This Row],[_Res4WorkPerWD]]*MAX(0,Tasks[[#This Row],[_StartWorkday]]-1)</f>
        <v>0</v>
      </c>
      <c r="EF10" s="42" t="n">
        <f aca="false">Tasks[[#This Row],[_Res4Work]]*Tasks[[#This Row],[_LeafProgress]]</f>
        <v>0</v>
      </c>
      <c r="EG10" s="42" t="n">
        <f aca="false">IF(ISNUMBER(Tasks[[#This Row],[% Complete]]),Tasks[[#This Row],[% Complete]],IF(Tasks[[#This Row],[Stage]]="",0,IFERROR(INDEX(stg_Pct,MATCH(Tasks[[#This Row],[Stage]],stg_Name,0)),0)))</f>
        <v>0</v>
      </c>
      <c r="EH10" s="42" t="n">
        <f aca="false">IF(NOT(Tasks[[#This Row],[_IsLeaf]]=1),0,IF(N(Tasks[[#This Row],[Actual Finish]])&gt;0,1,MIN(1,Tasks[[#This Row],[_Pct]])))</f>
        <v>0</v>
      </c>
      <c r="EI10" s="42" t="n">
        <f aca="false">IF(OR(NOT(Tasks[[#This Row],[_IsLeaf]]=1),Tasks[[#This Row],[_Res1Row]]=0),0,N(Tasks[[#This Row],[_Days]])*HoursPerDay*IF(Tasks[[#This Row],[_Units1]]="",DefaultUnits,Tasks[[#This Row],[_Units1]]))</f>
        <v>0</v>
      </c>
      <c r="EJ10" s="42" t="n">
        <f aca="false">Tasks[[#This Row],[_LeafWork]]+Tasks[[#This Row],[_Res2Work]]+Tasks[[#This Row],[_Res3Work]]+Tasks[[#This Row],[_Res4Work]]</f>
        <v>0</v>
      </c>
      <c r="EK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 s="42" t="n">
        <f aca="false">IF(NOT(Tasks[[#This Row],[_IsLeaf]]=1),0,MAX(_xlfn.MAXIFS(Tasks[_Row],Tasks[_Pred1UID],Tasks[[#This Row],[UID]]),_xlfn.MAXIFS(Tasks[_Row],Tasks[_Pred2UID],Tasks[[#This Row],[UID]]),_xlfn.MAXIFS(Tasks[_Row],Tasks[_Pred3UID],Tasks[[#This Row],[UID]]),_xlfn.MAXIFS(Tasks[_Row],Tasks[_Pred4UID],Tasks[[#This Row],[UID]])))</f>
        <v>0</v>
      </c>
      <c r="ET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 s="89" t="str">
        <f aca="false">IF(NOT(Tasks[[#This Row],[_IsLeaf]]=1),"",IF(N(Tasks[[#This Row],[_Days]])&lt;=0,Tasks[[#This Row],[_LeafLateFinish]],WORKDAY.INTL(Tasks[[#This Row],[_LeafLateFinish]],-(Tasks[[#This Row],[_Days]]-1),WorkWeek,Holidays)))</f>
        <v/>
      </c>
      <c r="EW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 s="88" t="b">
        <f aca="false">AND(Tasks[[#This Row],[_IsLeaf]]=1,Tasks[[#This Row],[_LeafProgress]]&lt;1,N(Tasks[[#This Row],[_LeafTotalSlack]])&lt;=CriticalSlackDays)</f>
        <v>0</v>
      </c>
      <c r="EY10" s="42" t="n">
        <f aca="false">IF(AND(Tasks[[#This Row],[_IsLeaf]]=1,Tasks[[#This Row],[_ConstraintCode]]=1,Tasks[[#This Row],[Mode]]&lt;&gt;"Manual",N(Tasks[[#This Row],[Actual Start]])=0),MAX(0,N(Tasks[[#This Row],[Free Slack]])),0)</f>
        <v>0</v>
      </c>
      <c r="EZ10" s="89" t="str">
        <f aca="false">IF(NOT(Tasks[[#This Row],[_IsLeaf]]=1),"",IF(Tasks[[#This Row],[_AlapShift]]=0,Tasks[[#This Row],[_LeafCalcStart]],WORKDAY.INTL(Tasks[[#This Row],[_LeafCalcStart]],Tasks[[#This Row],[_AlapShift]],WorkWeek,Holidays)))</f>
        <v/>
      </c>
      <c r="FA10" s="89" t="str">
        <f aca="false">IF(NOT(Tasks[[#This Row],[_IsLeaf]]=1),"",IF(Tasks[[#This Row],[_AlapShift]]=0,Tasks[[#This Row],[_LeafCalcFinish]],WORKDAY.INTL(Tasks[[#This Row],[_LeafCalcFinish]],Tasks[[#This Row],[_AlapShift]],WorkWeek,Holidays)))</f>
        <v/>
      </c>
      <c r="FB10" s="89" t="str">
        <f aca="false">IF(NOT(Tasks[[#This Row],[_IsLeaf]]=1),"",IF(Tasks[[#This Row],[_AlapShift]]=0,Tasks[[#This Row],[_LeafFcstStart]],WORKDAY.INTL(Tasks[[#This Row],[_LeafFcstStart]],Tasks[[#This Row],[_AlapShift]],WorkWeek,Holidays)))</f>
        <v/>
      </c>
      <c r="FC10" s="89" t="str">
        <f aca="false">IF(NOT(Tasks[[#This Row],[_IsLeaf]]=1),"",IF(Tasks[[#This Row],[_AlapShift]]=0,Tasks[[#This Row],[_LeafFcstFinish]],WORKDAY.INTL(Tasks[[#This Row],[_LeafFcstFinish]],Tasks[[#This Row],[_AlapShift]],WorkWeek,Holidays)))</f>
        <v/>
      </c>
      <c r="FD10" s="89" t="n">
        <f aca="false">IF(Tasks[[#This Row],[Task Name]]="","",IF(Tasks[[#This Row],[_IsSummary]],MIN(INDEX(Tasks[_ShownCalcStart],Tasks[[#This Row],[_Row]]+1):INDEX(Tasks[_ShownCalcStart],Tasks[[#This Row],[_Row]]+Tasks[[#This Row],[_Descendants]])),Tasks[[#This Row],[_ShownCalcStart]]))</f>
        <v>46279</v>
      </c>
      <c r="FE10" s="89" t="n">
        <f aca="false">IF(Tasks[[#This Row],[Task Name]]="","",IF(Tasks[[#This Row],[_IsSummary]],MAX(INDEX(Tasks[_ShownCalcFinish],Tasks[[#This Row],[_Row]]+1):INDEX(Tasks[_ShownCalcFinish],Tasks[[#This Row],[_Row]]+Tasks[[#This Row],[_Descendants]])),Tasks[[#This Row],[_ShownCalcFinish]]))</f>
        <v>46296</v>
      </c>
      <c r="FF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 s="42" t="n">
        <f aca="false">IF(AND(Tasks[[#This Row],[_IsLeaf]]=1,Tasks[[#This Row],[_LeafTotalWork]]&gt;0),NETWORKDAYS.INTL(ProjectStart,Tasks[[#This Row],[_ShownFcstStart]],WorkWeek,Holidays),0)</f>
        <v>0</v>
      </c>
      <c r="FS10" s="42" t="n">
        <f aca="false">IF(AND(Tasks[[#This Row],[_IsLeaf]]=1,Tasks[[#This Row],[_LeafTotalWork]]&gt;0),MAX(Tasks[[#This Row],[_StartWorkday]],NETWORKDAYS.INTL(ProjectStart,Tasks[[#This Row],[_ShownFcstFinish]],WorkWeek,Holidays)),0)</f>
        <v>0</v>
      </c>
      <c r="FT10" s="42" t="n">
        <f aca="false">IF(AND(Tasks[[#This Row],[_IsLeaf]]=1,Tasks[[#This Row],[_LeafTotalWork]]&gt;0),Tasks[[#This Row],[_LeafWork]]/(Tasks[[#This Row],[_FinishWorkday]]-Tasks[[#This Row],[_StartWorkday]]+1),0)</f>
        <v>0</v>
      </c>
      <c r="FU10" s="42" t="n">
        <f aca="false">Tasks[[#This Row],[_WorkPerWorkday]]*(Tasks[[#This Row],[_StartWorkday]]-1)</f>
        <v>-0</v>
      </c>
      <c r="FV10" s="42" t="n">
        <f aca="false">IF(Tasks[[#This Row],[_IsLeaf]]=1,MAX(N(Tasks[[#This Row],[_Days]]),0.1),0)</f>
        <v>0</v>
      </c>
      <c r="FW10" s="42" t="n">
        <f aca="false">Tasks[[#This Row],[_WeightDur]]*Tasks[[#This Row],[_LeafProgress]]</f>
        <v>0</v>
      </c>
      <c r="FX10" s="42" t="n">
        <f aca="false">Tasks[[#This Row],[_WeightDur]]*Tasks[[#This Row],[_PlannedPct]]</f>
        <v>0</v>
      </c>
      <c r="FY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 s="42" t="str">
        <f aca="false">IF(AND(Tasks[[#This Row],[_IsLeaf]]=1,N(Tasks[[#This Row],[_Days]])=0,Tasks[[#This Row],[_LeafProgress]]&lt;1),Tasks[[#This Row],[_ShownFcstFinish]]+Tasks[[#This Row],[_Row]]/100000,"")</f>
        <v/>
      </c>
      <c r="GA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 s="42" t="str">
        <f aca="false">IF(Tasks[[#This Row],[Task Name]]="","",LEFT(Tasks[[#This Row],[WBS]],FIND(".",Tasks[[#This Row],[WBS]]&amp;".")-1))</f>
        <v>2</v>
      </c>
      <c r="GC10" s="42" t="n">
        <f aca="false">IF(AND(Tasks[[#This Row],[Task Name]]&lt;&gt;"",Tasks[[#This Row],[_Level]]=1),Tasks[[#This Row],[_Row]],"")</f>
        <v>5</v>
      </c>
      <c r="GD10" s="42" t="str">
        <f aca="false">IF(AND(Tasks[[#This Row],[_IsLeaf]]=1,N(Tasks[[#This Row],[_Days]])=0),Tasks[[#This Row],[Planned Finish]]+Tasks[[#This Row],[_Row]]/100000,"")</f>
        <v/>
      </c>
      <c r="GE10" s="42" t="str">
        <f aca="false">IF(AND(Tasks[[#This Row],[_IsLeaf]]=1,Tasks[[#This Row],[_LeafProgress]]&lt;1,OR(N(Tasks[[#This Row],[Finish Var]])&gt;0,Tasks[[#This Row],[Status]]="Late Start")),MAX(0,Tasks[[#This Row],[Finish Var]])+1-Tasks[[#This Row],[_Row]]/1000000,"")</f>
        <v/>
      </c>
      <c r="GF10" s="42" t="str">
        <f aca="false">IF(AND(Tasks[[#This Row],[_IsLeaf]]=1,N(Tasks[[#This Row],[Actual Start]])=0,Tasks[[#This Row],[_ShownFcstStart]]&gt;=StatusDate,Tasks[[#This Row],[_ShownFcstStart]]&lt;=LookaheadEnd),Tasks[[#This Row],[_ShownFcstStart]]+Tasks[[#This Row],[_Row]]/100000,"")</f>
        <v/>
      </c>
      <c r="GG10" s="42" t="str">
        <f aca="false">IF(AND(Tasks[[#This Row],[_IsLeaf]]=1,Tasks[[#This Row],[_LeafProgress]]&lt;1,Tasks[[#This Row],[_ShownFcstFinish]]&gt;=StatusDate,Tasks[[#This Row],[_ShownFcstFinish]]&lt;=LookaheadEnd),Tasks[[#This Row],[_ShownFcstFinish]]+Tasks[[#This Row],[_Row]]/100000,"")</f>
        <v/>
      </c>
      <c r="GH10" s="42" t="str">
        <f aca="false">IF(Tasks[[#This Row],[_LeafCritical]],Tasks[[#This Row],[_ShownFcstStart]]+Tasks[[#This Row],[_Row]]/100000,"")</f>
        <v/>
      </c>
      <c r="GI10" s="42" t="n">
        <f aca="false">Tasks[[#This Row],[_LeafWork]]*Tasks[[#This Row],[_LeafProgress]]</f>
        <v>0</v>
      </c>
      <c r="GJ10" s="89" t="str">
        <f aca="false">IF(AND(Tasks[[#This Row],[_IsLeaf]]=1,Tasks[[#This Row],[_LeafProgress]]&gt;=1),IF(N(Tasks[[#This Row],[Actual Finish]])&gt;0,Tasks[[#This Row],[Actual Finish]],Tasks[[#This Row],[_ShownFcstFinish]]),"")</f>
        <v/>
      </c>
      <c r="GK10" s="42" t="n">
        <f aca="false">IF(Tasks[[#This Row],[_IsLeaf]]=1,N(Tasks[[#This Row],[Story Points]]),0)</f>
        <v>0</v>
      </c>
      <c r="GL10" s="42" t="str">
        <f aca="false">""</f>
        <v/>
      </c>
      <c r="GM10" s="88" t="b">
        <f aca="false">IF(Tasks[[#This Row],[Task Name]]="",FALSE(),AND(Tasks[[#This Row],[_IsLeaf]]=1,N(Tasks[[#This Row],[_Days]])=0))</f>
        <v>0</v>
      </c>
      <c r="GN10" s="89" t="n">
        <f aca="false">IF(Tasks[[#This Row],[Task Name]]="",0,IF(AND(Tasks[[#This Row],[_IsLeaf]]=1,NOT(Tasks[[#This Row],[_IsMilestone]]),N(Tasks[[#This Row],[Progress]])&gt;0),Tasks[[#This Row],[Start]],0))</f>
        <v>0</v>
      </c>
      <c r="GO10" s="89" t="n">
        <f aca="false">IF(Tasks[[#This Row],[_DoneFrom]]=0,0,IF(Tasks[[#This Row],[Progress]]&gt;=1,Tasks[[#This Row],[Finish]],MAX(Tasks[[#This Row],[_DoneFrom]],Tasks[[#This Row],[Start]]+ROUND((Tasks[[#This Row],[Finish]]-Tasks[[#This Row],[Start]]+1)*Tasks[[#This Row],[Progress]],0)-1)))</f>
        <v>0</v>
      </c>
      <c r="GP10" s="89" t="n">
        <f aca="false">IF(Tasks[[#This Row],[Task Name]]="",0,IF(OR(NOT(Tasks[[#This Row],[_IsLeaf]]=1),Tasks[[#This Row],[_IsMilestone]],N(Tasks[[#This Row],[Progress]])&gt;=1),0,IF(Tasks[[#This Row],[_DoneTo]]&gt;0,Tasks[[#This Row],[_DoneTo]]+1,Tasks[[#This Row],[Start]])))</f>
        <v>0</v>
      </c>
      <c r="GQ10" s="89" t="n">
        <f aca="false">IF(Tasks[[#This Row],[_RemFrom]]=0,0,Tasks[[#This Row],[Finish]])</f>
        <v>0</v>
      </c>
      <c r="GR10" s="88" t="b">
        <f aca="false">IF(Tasks[[#This Row],[Task Name]]="",FALSE(),OR(NOT(BaselineSet),N(Tasks[[#This Row],[Baseline Start]])&gt;0))</f>
        <v>1</v>
      </c>
      <c r="GS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 s="90" t="str">
        <f aca="false">IF(Tasks[[#This Row],[_IsLeaf]]=1,Tasks[[#This Row],[_Row]],"")</f>
        <v/>
      </c>
      <c r="GW10" s="90" t="str">
        <f aca="false">IFERROR(INDEX(Tasks[UID],SMALL(Tasks[_PickKey],Tasks[[#This Row],[_Row]]))&amp;" "&amp;INDEX(Tasks[Task Name],SMALL(Tasks[_PickKey],Tasks[[#This Row],[_Row]])),"")</f>
        <v>8 UX wireframes &amp; prototype</v>
      </c>
      <c r="GX10" s="42" t="n">
        <f aca="false">IF(Tasks[[#This Row],[Task Name]]="","",IF(Tasks[[#This Row],[_IsSummary]],NETWORKDAYS.INTL(Tasks[[#This Row],[Start]],Tasks[[#This Row],[Finish]],WorkWeek,Holidays),N(Tasks[[#This Row],[_Days]])))</f>
        <v>16</v>
      </c>
    </row>
    <row r="11" customFormat="false" ht="15" hidden="false" customHeight="false" outlineLevel="1" collapsed="false">
      <c r="A11" s="21" t="n">
        <f aca="false">IF(Tasks[[#This Row],[Task Name]]="","",COUNTA(Tasks[[#Headers],[Task Name]]:Tasks[[#This Row],[Task Name]])-1)</f>
        <v>6</v>
      </c>
      <c r="B11" s="22" t="n">
        <v>6</v>
      </c>
      <c r="C11" s="22" t="n">
        <v>2</v>
      </c>
      <c r="D11" s="91" t="s">
        <v>617</v>
      </c>
      <c r="E11" s="22" t="n">
        <v>8</v>
      </c>
      <c r="F11" s="23" t="n">
        <v>4</v>
      </c>
      <c r="G11" s="22"/>
      <c r="H11" s="22"/>
      <c r="I11" s="23"/>
      <c r="J11" s="22"/>
      <c r="K11" s="22"/>
      <c r="L11" s="23"/>
      <c r="M11" s="22"/>
      <c r="N11" s="22"/>
      <c r="O11" s="23"/>
      <c r="P11" s="22"/>
      <c r="Q11" s="22"/>
      <c r="R11" s="23"/>
      <c r="S11" s="23" t="s">
        <v>613</v>
      </c>
      <c r="T11" s="83"/>
      <c r="U11" s="23"/>
      <c r="V11" s="83"/>
      <c r="W11" s="23"/>
      <c r="X11" s="83"/>
      <c r="Y11" s="23"/>
      <c r="Z11" s="83"/>
      <c r="AA11" s="23"/>
      <c r="AB11" s="23" t="s">
        <v>139</v>
      </c>
      <c r="AC11" s="7" t="n">
        <v>46280</v>
      </c>
      <c r="AD11" s="7" t="n">
        <v>46290</v>
      </c>
      <c r="AE11" s="62" t="n">
        <f aca="false">IF(Tasks[[#This Row],[Task Name]]="","",IF(Tasks[[#This Row],[_IsSummary]],MIN(INDEX(Tasks[_ShownFcstStart],Tasks[[#This Row],[_Row]]+1):INDEX(Tasks[_ShownFcstStart],Tasks[[#This Row],[_Row]]+Tasks[[#This Row],[_Descendants]])),Tasks[[#This Row],[_ShownFcstStart]]))</f>
        <v>46280</v>
      </c>
      <c r="AF11" s="62"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 s="7"/>
      <c r="AK11" s="22" t="s">
        <v>235</v>
      </c>
      <c r="AL11" s="23"/>
      <c r="AM11" s="7"/>
      <c r="AN11" s="46"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2" t="n">
        <f aca="false">IF(Tasks[[#This Row],[Task Name]]="","",IF(N(Tasks[[#This Row],[Baseline Start]])&gt;0,Tasks[[#This Row],[Baseline Start]],Tasks[[#This Row],[_CalcStart]]))</f>
        <v>46279</v>
      </c>
      <c r="AR11" s="62" t="n">
        <f aca="false">IF(Tasks[[#This Row],[Task Name]]="","",IF(N(Tasks[[#This Row],[Baseline Finish]])&gt;0,Tasks[[#This Row],[Baseline Finish]],Tasks[[#This Row],[_CalcFinish]]))</f>
        <v>46288</v>
      </c>
      <c r="AS11" s="46" t="n">
        <f aca="false">IF(Tasks[[#This Row],[Task Name]]="","",IF(Tasks[[#This Row],[Start]]&gt;=Tasks[[#This Row],[Planned Start]],NETWORKDAYS.INTL(Tasks[[#This Row],[Planned Start]],Tasks[[#This Row],[Start]],WorkWeek,Holidays)-1,1-NETWORKDAYS.INTL(Tasks[[#This Row],[Start]],Tasks[[#This Row],[Planned Start]],WorkWeek,Holidays)))</f>
        <v>1</v>
      </c>
      <c r="AT11" s="62" t="n">
        <f aca="false">IF(Tasks[[#This Row],[Task Name]]="","",IF(Tasks[[#This Row],[_IsSummary]],MIN(INDEX(Tasks[_LeafLateStart],Tasks[[#This Row],[_Row]]+1):INDEX(Tasks[_LeafLateStart],Tasks[[#This Row],[_Row]]+Tasks[[#This Row],[_Descendants]])),Tasks[[#This Row],[_LeafLateStart]]))</f>
        <v>46283</v>
      </c>
      <c r="AU11" s="62" t="n">
        <f aca="false">IF(Tasks[[#This Row],[Task Name]]="","",IF(Tasks[[#This Row],[_IsSummary]],MAX(INDEX(Tasks[_LeafLateFinish],Tasks[[#This Row],[_Row]]+1):INDEX(Tasks[_LeafLateFinish],Tasks[[#This Row],[_Row]]+Tasks[[#This Row],[_Descendants]])),Tasks[[#This Row],[_LeafLateFinish]]))</f>
        <v>46294</v>
      </c>
      <c r="AV11" s="46"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4"/>
      <c r="BA11"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5"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6"/>
      <c r="BJ11" s="22"/>
      <c r="BK11" s="46" t="n">
        <f aca="false">IF(OR(Tasks[[#This Row],[Task Name]]="",Tasks[[#This Row],[Baseline Duration]]=""),"",Tasks[[#This Row],[_SpanDays]]-N(Tasks[[#This Row],[Baseline Duration]]))</f>
        <v>0</v>
      </c>
      <c r="BL11" s="85" t="n">
        <f aca="false">IF(OR(Tasks[[#This Row],[Task Name]]="",Tasks[[#This Row],[Baseline Work]]=""),"",Tasks[[#This Row],[Work]]-N(Tasks[[#This Row],[Baseline Work]]))</f>
        <v>0</v>
      </c>
      <c r="BM11" s="62" t="n">
        <f aca="false">IF(Tasks[[#This Row],[Task Name]]="","",IF(OR(TakeBaseline="Yes",N(Tasks[[#This Row],[Baseline Start]])=0),Tasks[[#This Row],[Start]],Tasks[[#This Row],[Baseline Start]]))</f>
        <v>46279</v>
      </c>
      <c r="BN11" s="62"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5" t="n">
        <f aca="false">IF(Tasks[[#This Row],[Task Name]]="","",IF(OR(TakeBaseline="Yes",N(Tasks[[#This Row],[Baseline Work]])=0),Tasks[[#This Row],[Work]],Tasks[[#This Row],[Baseline Work]]))</f>
        <v>64</v>
      </c>
      <c r="BQ11" s="7" t="n">
        <v>46279</v>
      </c>
      <c r="BR11" s="7" t="n">
        <v>46288</v>
      </c>
      <c r="BS11" s="22" t="n">
        <v>8</v>
      </c>
      <c r="BT11" s="87" t="n">
        <v>64</v>
      </c>
      <c r="BU11" s="42" t="n">
        <f aca="false">IF(Tasks[[#This Row],[Task Name]]="","",MAX(1,N(Tasks[[#This Row],[Level]])))</f>
        <v>2</v>
      </c>
      <c r="BV11" s="42" t="n">
        <f aca="false">ROW()-ROW(Tasks[[#Headers],[ID]])</f>
        <v>6</v>
      </c>
      <c r="BW11" s="42" t="n">
        <f aca="false">IF(OR(Tasks[[#This Row],[Task Name]]="",Tasks[[#This Row],[_Level]]&lt;=1),0,IFERROR(LOOKUP(2,1/(Tasks[[#Headers],[_Level]]:Tasks[[#This Row],[_Level]]=Tasks[[#This Row],[_Level]]-1),ROW(Tasks[[#Headers],[_Level]]:Tasks[[#This Row],[_Level]])),0))</f>
        <v>10</v>
      </c>
      <c r="BX11" s="42" t="n">
        <f aca="false">IFERROR(N(INDEX(Tasks[_Level],Tasks[[#This Row],[_Row]]+1)),0)</f>
        <v>2</v>
      </c>
      <c r="BY11" s="88" t="b">
        <f aca="false">AND(Tasks[[#This Row],[Task Name]]&lt;&gt;"",Tasks[[#This Row],[_NextLevel]]&gt;Tasks[[#This Row],[_Level]])</f>
        <v>0</v>
      </c>
      <c r="BZ11" s="42" t="n">
        <f aca="false">IF(Tasks[[#This Row],[_IsSummary]],COUNTIF(Tasks[WBS],Tasks[[#This Row],[WBS]]&amp;".*"),0)</f>
        <v>0</v>
      </c>
      <c r="CA11" s="42" t="n">
        <f aca="false">IF(AND(Tasks[[#This Row],[Task Name]]&lt;&gt;"",NOT(Tasks[[#This Row],[_IsSummary]])),1,0)</f>
        <v>1</v>
      </c>
      <c r="CB11" s="42" t="n">
        <f aca="false">IF(N(Tasks[[#This Row],[_Pred1UID]])=0,0,IFERROR(MATCH(Tasks[[#This Row],[_Pred1UID]],Tasks[UID],0),-1))</f>
        <v>4</v>
      </c>
      <c r="CC11" s="42" t="n">
        <f aca="false">IF(N(Tasks[[#This Row],[_Pred2UID]])=0,0,IFERROR(MATCH(Tasks[[#This Row],[_Pred2UID]],Tasks[UID],0),-1))</f>
        <v>0</v>
      </c>
      <c r="CD11" s="42" t="n">
        <f aca="false">IF(N(Tasks[[#This Row],[_Pred3UID]])=0,0,IFERROR(MATCH(Tasks[[#This Row],[_Pred3UID]],Tasks[UID],0),-1))</f>
        <v>0</v>
      </c>
      <c r="CE11" s="42" t="n">
        <f aca="false">IF(N(Tasks[[#This Row],[_Pred4UID]])=0,0,IFERROR(MATCH(Tasks[[#This Row],[_Pred4UID]],Tasks[UID],0),-1))</f>
        <v>0</v>
      </c>
      <c r="CF11"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 s="89" t="n">
        <f aca="false">IF(OR(Tasks[[#This Row],[_ConstraintCode]]=2,Tasks[[#This Row],[_ConstraintCode]]=3,Tasks[[#This Row],[_ConstraintCode]]=4,Tasks[[#This Row],[_ConstraintCode]]=6),Tasks[[#This Row],[_ConstraintStart]],0)</f>
        <v>0</v>
      </c>
      <c r="CI11" s="89" t="n">
        <f aca="false">IF(OR(Tasks[[#This Row],[_ConstraintCode]]=2,Tasks[[#This Row],[_ConstraintCode]]=3,Tasks[[#This Row],[_ConstraintCode]]=5,Tasks[[#This Row],[_ConstraintCode]]=7),Tasks[[#This Row],[_ConstraintStart]],2958465)</f>
        <v>2958465</v>
      </c>
      <c r="CJ11"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K11" s="89" t="n">
        <f aca="false">IF(NOT(Tasks[[#This Row],[_IsLeaf]]=1),"",IF(N(Tasks[[#This Row],[_Days]])&lt;=0,Tasks[[#This Row],[_LeafCalcStart]],WORKDAY.INTL(Tasks[[#This Row],[_LeafCalcStart]],Tasks[[#This Row],[_Days]]-1,WorkWeek,Holidays)))</f>
        <v>46288</v>
      </c>
      <c r="CL11"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M11"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N11" s="42" t="str">
        <f aca="false">IF(Tasks[[#This Row],[_Predecessors]]="","",TRIM(MID(SUBSTITUTE(SUBSTITUTE(SUBSTITUTE(UPPER(Tasks[[#This Row],[_Predecessors]]),";",",")," ",""),",",REPT(" ",99)),1,99)))</f>
        <v>4</v>
      </c>
      <c r="CO11" s="42" t="n">
        <f aca="false">IF(Tasks[[#This Row],[_Pred1Text]]="","",IFERROR(VALUE(LEFT(Tasks[[#This Row],[_Pred1Text]],MIN(FIND("F",Tasks[[#This Row],[_Pred1Text]]&amp;"F"),FIND("S",Tasks[[#This Row],[_Pred1Text]]&amp;"S"),FIND("+",Tasks[[#This Row],[_Pred1Text]]&amp;"+"),FIND("-",Tasks[[#This Row],[_Pred1Text]]&amp;"-"))-1)),""))</f>
        <v>4</v>
      </c>
      <c r="CP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1"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1" s="42" t="str">
        <f aca="false">IF(Tasks[[#This Row],[_Pred1Text]]="","",TRIM(MID(SUBSTITUTE(SUBSTITUTE(SUBSTITUTE(UPPER(Tasks[[#This Row],[_Predecessors]]),";",",")," ",""),",",REPT(" ",99)),100,99)))</f>
        <v/>
      </c>
      <c r="CS11" s="42" t="str">
        <f aca="false">IF(Tasks[[#This Row],[_Pred2Text]]="","",IFERROR(VALUE(LEFT(Tasks[[#This Row],[_Pred2Text]],MIN(FIND("F",Tasks[[#This Row],[_Pred2Text]]&amp;"F"),FIND("S",Tasks[[#This Row],[_Pred2Text]]&amp;"S"),FIND("+",Tasks[[#This Row],[_Pred2Text]]&amp;"+"),FIND("-",Tasks[[#This Row],[_Pred2Text]]&amp;"-"))-1)),""))</f>
        <v/>
      </c>
      <c r="CT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 s="42" t="str">
        <f aca="false">IF(Tasks[[#This Row],[_Pred2Text]]="","",TRIM(MID(SUBSTITUTE(SUBSTITUTE(SUBSTITUTE(UPPER(Tasks[[#This Row],[_Predecessors]]),";",",")," ",""),",",REPT(" ",99)),199,99)))</f>
        <v/>
      </c>
      <c r="CW11" s="42" t="str">
        <f aca="false">IF(Tasks[[#This Row],[_Pred3Text]]="","",IFERROR(VALUE(LEFT(Tasks[[#This Row],[_Pred3Text]],MIN(FIND("F",Tasks[[#This Row],[_Pred3Text]]&amp;"F"),FIND("S",Tasks[[#This Row],[_Pred3Text]]&amp;"S"),FIND("+",Tasks[[#This Row],[_Pred3Text]]&amp;"+"),FIND("-",Tasks[[#This Row],[_Pred3Text]]&amp;"-"))-1)),""))</f>
        <v/>
      </c>
      <c r="CX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 s="42" t="str">
        <f aca="false">IF(Tasks[[#This Row],[_Pred3Text]]="","",TRIM(MID(SUBSTITUTE(SUBSTITUTE(SUBSTITUTE(UPPER(Tasks[[#This Row],[_Predecessors]]),";",",")," ",""),",",REPT(" ",99)),298,99)))</f>
        <v/>
      </c>
      <c r="DA11" s="42" t="str">
        <f aca="false">IF(Tasks[[#This Row],[_Pred4Text]]="","",IFERROR(VALUE(LEFT(Tasks[[#This Row],[_Pred4Text]],MIN(FIND("F",Tasks[[#This Row],[_Pred4Text]]&amp;"F"),FIND("S",Tasks[[#This Row],[_Pred4Text]]&amp;"S"),FIND("+",Tasks[[#This Row],[_Pred4Text]]&amp;"+"),FIND("-",Tasks[[#This Row],[_Pred4Text]]&amp;"-"))-1)),""))</f>
        <v/>
      </c>
      <c r="DB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 s="42" t="str">
        <f aca="false">IF(OR(Tasks[[#This Row],[Task Name]]="",Tasks[[#This Row],[_Resources]]=""),"",TRIM(MID(SUBSTITUTE(Tasks[[#This Row],[_Resources]],",",REPT(" ",99)),1,99)))</f>
        <v>Morgan Patel</v>
      </c>
      <c r="DE11" s="42" t="str">
        <f aca="false">IF(Tasks[[#This Row],[_Res1Text]]="","",TRIM(MID(SUBSTITUTE(Tasks[[#This Row],[_Resources]],",",REPT(" ",99)),100,99)))</f>
        <v/>
      </c>
      <c r="DF11" s="42" t="str">
        <f aca="false">IF(Tasks[[#This Row],[_Res2Text]]="","",TRIM(MID(SUBSTITUTE(Tasks[[#This Row],[_Resources]],",",REPT(" ",99)),199,99)))</f>
        <v/>
      </c>
      <c r="DG11" s="42" t="str">
        <f aca="false">IF(Tasks[[#This Row],[_Res3Text]]="","",TRIM(MID(SUBSTITUTE(Tasks[[#This Row],[_Resources]],",",REPT(" ",99)),298,99)))</f>
        <v/>
      </c>
      <c r="DH11" s="42" t="n">
        <f aca="false">IF(Tasks[[#This Row],[_Res1Text]]="",0,IFERROR(MATCH(TRIM(LEFT(Tasks[[#This Row],[_Res1Text]],FIND("[",Tasks[[#This Row],[_Res1Text]]&amp;"[")-1)),res_Name,0),IFERROR(MATCH(TRIM(LEFT(Tasks[[#This Row],[_Res1Text]],FIND("[",Tasks[[#This Row],[_Res1Text]]&amp;"[")-1)),res_Initials,0),0)))</f>
        <v>2</v>
      </c>
      <c r="DI11" s="42" t="n">
        <f aca="false">IF(Tasks[[#This Row],[_Res2Text]]="",0,IFERROR(MATCH(TRIM(LEFT(Tasks[[#This Row],[_Res2Text]],FIND("[",Tasks[[#This Row],[_Res2Text]]&amp;"[")-1)),res_Name,0),IFERROR(MATCH(TRIM(LEFT(Tasks[[#This Row],[_Res2Text]],FIND("[",Tasks[[#This Row],[_Res2Text]]&amp;"[")-1)),res_Initials,0),0)))</f>
        <v>0</v>
      </c>
      <c r="DJ11" s="42" t="n">
        <f aca="false">IF(Tasks[[#This Row],[_Res3Text]]="",0,IFERROR(MATCH(TRIM(LEFT(Tasks[[#This Row],[_Res3Text]],FIND("[",Tasks[[#This Row],[_Res3Text]]&amp;"[")-1)),res_Name,0),IFERROR(MATCH(TRIM(LEFT(Tasks[[#This Row],[_Res3Text]],FIND("[",Tasks[[#This Row],[_Res3Text]]&amp;"[")-1)),res_Initials,0),0)))</f>
        <v>0</v>
      </c>
      <c r="DK11" s="42" t="n">
        <f aca="false">IF(Tasks[[#This Row],[_Res4Text]]="",0,IFERROR(MATCH(TRIM(LEFT(Tasks[[#This Row],[_Res4Text]],FIND("[",Tasks[[#This Row],[_Res4Text]]&amp;"[")-1)),res_Name,0),IFERROR(MATCH(TRIM(LEFT(Tasks[[#This Row],[_Res4Text]],FIND("[",Tasks[[#This Row],[_Res4Text]]&amp;"[")-1)),res_Initials,0),0)))</f>
        <v>0</v>
      </c>
      <c r="DL11" s="42" t="str">
        <f aca="false">IF(Tasks[[#This Row],[_Res1Text]]="","",IF(Tasks[[#This Row],[_Res1Row]]&gt;0,INDEX(res_Name,Tasks[[#This Row],[_Res1Row]]),TRIM(LEFT(Tasks[[#This Row],[_Res1Text]],FIND("[",Tasks[[#This Row],[_Res1Text]]&amp;"[")-1))))</f>
        <v>Morgan Patel</v>
      </c>
      <c r="DM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 s="42" t="n">
        <f aca="false">IF(NOT(Tasks[[#This Row],[_IsLeaf]]=1),0,(Tasks[[#This Row],[_Resource1]]&lt;&gt;"")+(Tasks[[#This Row],[_Res2]]&lt;&gt;"")+(Tasks[[#This Row],[_Res3]]&lt;&gt;"")+(Tasks[[#This Row],[_Res4]]&lt;&gt;""))</f>
        <v>1</v>
      </c>
      <c r="DO11" s="42" t="str">
        <f aca="false">IF(Tasks[[#This Row],[_Res2Text]]="","",IF(Tasks[[#This Row],[_Res2Row]]&gt;0,INDEX(res_Name,Tasks[[#This Row],[_Res2Row]]),TRIM(LEFT(Tasks[[#This Row],[_Res2Text]],FIND("[",Tasks[[#This Row],[_Res2Text]]&amp;"[")-1))))</f>
        <v/>
      </c>
      <c r="DP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 s="42" t="n">
        <f aca="false">IF(OR(NOT(Tasks[[#This Row],[_IsLeaf]]=1),Tasks[[#This Row],[_Res2Row]]=0),0,N(Tasks[[#This Row],[_Days]])*HoursPerDay*IF(Tasks[[#This Row],[_Res2Units]]="",DefaultUnits,Tasks[[#This Row],[_Res2Units]]))</f>
        <v>0</v>
      </c>
      <c r="DR11" s="42" t="n">
        <f aca="false">IF(AND(AND(Tasks[[#This Row],[_IsLeaf]]=1,Tasks[[#This Row],[_LeafTotalWork]]&gt;0),Tasks[[#This Row],[_Res2Work]]&gt;0),Tasks[[#This Row],[_Res2Work]]/(Tasks[[#This Row],[_FinishWorkday]]-Tasks[[#This Row],[_StartWorkday]]+1),0)</f>
        <v>0</v>
      </c>
      <c r="DS11" s="42" t="n">
        <f aca="false">Tasks[[#This Row],[_Res2WorkPerWD]]*MAX(0,Tasks[[#This Row],[_StartWorkday]]-1)</f>
        <v>0</v>
      </c>
      <c r="DT11" s="42" t="n">
        <f aca="false">Tasks[[#This Row],[_Res2Work]]*Tasks[[#This Row],[_LeafProgress]]</f>
        <v>0</v>
      </c>
      <c r="DU11" s="42" t="str">
        <f aca="false">IF(Tasks[[#This Row],[_Res3Text]]="","",IF(Tasks[[#This Row],[_Res3Row]]&gt;0,INDEX(res_Name,Tasks[[#This Row],[_Res3Row]]),TRIM(LEFT(Tasks[[#This Row],[_Res3Text]],FIND("[",Tasks[[#This Row],[_Res3Text]]&amp;"[")-1))))</f>
        <v/>
      </c>
      <c r="DV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 s="42" t="n">
        <f aca="false">IF(OR(NOT(Tasks[[#This Row],[_IsLeaf]]=1),Tasks[[#This Row],[_Res3Row]]=0),0,N(Tasks[[#This Row],[_Days]])*HoursPerDay*IF(Tasks[[#This Row],[_Res3Units]]="",DefaultUnits,Tasks[[#This Row],[_Res3Units]]))</f>
        <v>0</v>
      </c>
      <c r="DX11" s="42" t="n">
        <f aca="false">IF(AND(AND(Tasks[[#This Row],[_IsLeaf]]=1,Tasks[[#This Row],[_LeafTotalWork]]&gt;0),Tasks[[#This Row],[_Res3Work]]&gt;0),Tasks[[#This Row],[_Res3Work]]/(Tasks[[#This Row],[_FinishWorkday]]-Tasks[[#This Row],[_StartWorkday]]+1),0)</f>
        <v>0</v>
      </c>
      <c r="DY11" s="42" t="n">
        <f aca="false">Tasks[[#This Row],[_Res3WorkPerWD]]*MAX(0,Tasks[[#This Row],[_StartWorkday]]-1)</f>
        <v>0</v>
      </c>
      <c r="DZ11" s="42" t="n">
        <f aca="false">Tasks[[#This Row],[_Res3Work]]*Tasks[[#This Row],[_LeafProgress]]</f>
        <v>0</v>
      </c>
      <c r="EA11" s="42" t="str">
        <f aca="false">IF(Tasks[[#This Row],[_Res4Text]]="","",IF(Tasks[[#This Row],[_Res4Row]]&gt;0,INDEX(res_Name,Tasks[[#This Row],[_Res4Row]]),TRIM(LEFT(Tasks[[#This Row],[_Res4Text]],FIND("[",Tasks[[#This Row],[_Res4Text]]&amp;"[")-1))))</f>
        <v/>
      </c>
      <c r="EB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 s="42" t="n">
        <f aca="false">IF(OR(NOT(Tasks[[#This Row],[_IsLeaf]]=1),Tasks[[#This Row],[_Res4Row]]=0),0,N(Tasks[[#This Row],[_Days]])*HoursPerDay*IF(Tasks[[#This Row],[_Res4Units]]="",DefaultUnits,Tasks[[#This Row],[_Res4Units]]))</f>
        <v>0</v>
      </c>
      <c r="ED11" s="42" t="n">
        <f aca="false">IF(AND(AND(Tasks[[#This Row],[_IsLeaf]]=1,Tasks[[#This Row],[_LeafTotalWork]]&gt;0),Tasks[[#This Row],[_Res4Work]]&gt;0),Tasks[[#This Row],[_Res4Work]]/(Tasks[[#This Row],[_FinishWorkday]]-Tasks[[#This Row],[_StartWorkday]]+1),0)</f>
        <v>0</v>
      </c>
      <c r="EE11" s="42" t="n">
        <f aca="false">Tasks[[#This Row],[_Res4WorkPerWD]]*MAX(0,Tasks[[#This Row],[_StartWorkday]]-1)</f>
        <v>0</v>
      </c>
      <c r="EF11" s="42" t="n">
        <f aca="false">Tasks[[#This Row],[_Res4Work]]*Tasks[[#This Row],[_LeafProgress]]</f>
        <v>0</v>
      </c>
      <c r="EG11" s="92" t="n">
        <f aca="false">IF(ISNUMBER(Tasks[[#This Row],[% Complete]]),Tasks[[#This Row],[% Complete]],IF(Tasks[[#This Row],[Stage]]="",0,IFERROR(INDEX(stg_Pct,MATCH(Tasks[[#This Row],[Stage]],stg_Name,0)),0)))</f>
        <v>1</v>
      </c>
      <c r="EH11" s="42" t="n">
        <f aca="false">IF(NOT(Tasks[[#This Row],[_IsLeaf]]=1),0,IF(N(Tasks[[#This Row],[Actual Finish]])&gt;0,1,MIN(1,Tasks[[#This Row],[_Pct]])))</f>
        <v>1</v>
      </c>
      <c r="EI11" s="42" t="n">
        <f aca="false">IF(OR(NOT(Tasks[[#This Row],[_IsLeaf]]=1),Tasks[[#This Row],[_Res1Row]]=0),0,N(Tasks[[#This Row],[_Days]])*HoursPerDay*IF(Tasks[[#This Row],[_Units1]]="",DefaultUnits,Tasks[[#This Row],[_Units1]]))</f>
        <v>64</v>
      </c>
      <c r="EJ11" s="42" t="n">
        <f aca="false">Tasks[[#This Row],[_LeafWork]]+Tasks[[#This Row],[_Res2Work]]+Tasks[[#This Row],[_Res3Work]]+Tasks[[#This Row],[_Res4Work]]</f>
        <v>64</v>
      </c>
      <c r="EK11"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 s="42" t="n">
        <f aca="false">IF(NOT(Tasks[[#This Row],[_IsLeaf]]=1),0,MAX(_xlfn.MAXIFS(Tasks[_Row],Tasks[_Pred1UID],Tasks[[#This Row],[UID]]),_xlfn.MAXIFS(Tasks[_Row],Tasks[_Pred2UID],Tasks[[#This Row],[UID]]),_xlfn.MAXIFS(Tasks[_Row],Tasks[_Pred3UID],Tasks[[#This Row],[UID]]),_xlfn.MAXIFS(Tasks[_Row],Tasks[_Pred4UID],Tasks[[#This Row],[UID]])))</f>
        <v>7</v>
      </c>
      <c r="ET11"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EU11"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EV11" s="89" t="n">
        <f aca="false">IF(NOT(Tasks[[#This Row],[_IsLeaf]]=1),"",IF(N(Tasks[[#This Row],[_Days]])&lt;=0,Tasks[[#This Row],[_LeafLateFinish]],WORKDAY.INTL(Tasks[[#This Row],[_LeafLateFinish]],-(Tasks[[#This Row],[_Days]]-1),WorkWeek,Holidays)))</f>
        <v>46283</v>
      </c>
      <c r="EW11"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X11" s="88" t="b">
        <f aca="false">AND(Tasks[[#This Row],[_IsLeaf]]=1,Tasks[[#This Row],[_LeafProgress]]&lt;1,N(Tasks[[#This Row],[_LeafTotalSlack]])&lt;=CriticalSlackDays)</f>
        <v>0</v>
      </c>
      <c r="EY11" s="42" t="n">
        <f aca="false">IF(AND(Tasks[[#This Row],[_IsLeaf]]=1,Tasks[[#This Row],[_ConstraintCode]]=1,Tasks[[#This Row],[Mode]]&lt;&gt;"Manual",N(Tasks[[#This Row],[Actual Start]])=0),MAX(0,N(Tasks[[#This Row],[Free Slack]])),0)</f>
        <v>0</v>
      </c>
      <c r="EZ11" s="89" t="n">
        <f aca="false">IF(NOT(Tasks[[#This Row],[_IsLeaf]]=1),"",IF(Tasks[[#This Row],[_AlapShift]]=0,Tasks[[#This Row],[_LeafCalcStart]],WORKDAY.INTL(Tasks[[#This Row],[_LeafCalcStart]],Tasks[[#This Row],[_AlapShift]],WorkWeek,Holidays)))</f>
        <v>46279</v>
      </c>
      <c r="FA11" s="89" t="n">
        <f aca="false">IF(NOT(Tasks[[#This Row],[_IsLeaf]]=1),"",IF(Tasks[[#This Row],[_AlapShift]]=0,Tasks[[#This Row],[_LeafCalcFinish]],WORKDAY.INTL(Tasks[[#This Row],[_LeafCalcFinish]],Tasks[[#This Row],[_AlapShift]],WorkWeek,Holidays)))</f>
        <v>46288</v>
      </c>
      <c r="FB11" s="89" t="n">
        <f aca="false">IF(NOT(Tasks[[#This Row],[_IsLeaf]]=1),"",IF(Tasks[[#This Row],[_AlapShift]]=0,Tasks[[#This Row],[_LeafFcstStart]],WORKDAY.INTL(Tasks[[#This Row],[_LeafFcstStart]],Tasks[[#This Row],[_AlapShift]],WorkWeek,Holidays)))</f>
        <v>46280</v>
      </c>
      <c r="FC11" s="89" t="n">
        <f aca="false">IF(NOT(Tasks[[#This Row],[_IsLeaf]]=1),"",IF(Tasks[[#This Row],[_AlapShift]]=0,Tasks[[#This Row],[_LeafFcstFinish]],WORKDAY.INTL(Tasks[[#This Row],[_LeafFcstFinish]],Tasks[[#This Row],[_AlapShift]],WorkWeek,Holidays)))</f>
        <v>46290</v>
      </c>
      <c r="FD11" s="89" t="n">
        <f aca="false">IF(Tasks[[#This Row],[Task Name]]="","",IF(Tasks[[#This Row],[_IsSummary]],MIN(INDEX(Tasks[_ShownCalcStart],Tasks[[#This Row],[_Row]]+1):INDEX(Tasks[_ShownCalcStart],Tasks[[#This Row],[_Row]]+Tasks[[#This Row],[_Descendants]])),Tasks[[#This Row],[_ShownCalcStart]]))</f>
        <v>46279</v>
      </c>
      <c r="FE11" s="89" t="n">
        <f aca="false">IF(Tasks[[#This Row],[Task Name]]="","",IF(Tasks[[#This Row],[_IsSummary]],MAX(INDEX(Tasks[_ShownCalcFinish],Tasks[[#This Row],[_Row]]+1):INDEX(Tasks[_ShownCalcFinish],Tasks[[#This Row],[_Row]]+Tasks[[#This Row],[_Descendants]])),Tasks[[#This Row],[_ShownCalcFinish]]))</f>
        <v>46288</v>
      </c>
      <c r="FF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K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O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 s="42" t="n">
        <f aca="false">IF(AND(Tasks[[#This Row],[_IsLeaf]]=1,Tasks[[#This Row],[_LeafTotalWork]]&gt;0),NETWORKDAYS.INTL(ProjectStart,Tasks[[#This Row],[_ShownFcstStart]],WorkWeek,Holidays),0)</f>
        <v>7</v>
      </c>
      <c r="FS11" s="42" t="n">
        <f aca="false">IF(AND(Tasks[[#This Row],[_IsLeaf]]=1,Tasks[[#This Row],[_LeafTotalWork]]&gt;0),MAX(Tasks[[#This Row],[_StartWorkday]],NETWORKDAYS.INTL(ProjectStart,Tasks[[#This Row],[_ShownFcstFinish]],WorkWeek,Holidays)),0)</f>
        <v>15</v>
      </c>
      <c r="FT11" s="42" t="n">
        <f aca="false">IF(AND(Tasks[[#This Row],[_IsLeaf]]=1,Tasks[[#This Row],[_LeafTotalWork]]&gt;0),Tasks[[#This Row],[_LeafWork]]/(Tasks[[#This Row],[_FinishWorkday]]-Tasks[[#This Row],[_StartWorkday]]+1),0)</f>
        <v>7.11111111111111</v>
      </c>
      <c r="FU11" s="42" t="n">
        <f aca="false">Tasks[[#This Row],[_WorkPerWorkday]]*(Tasks[[#This Row],[_StartWorkday]]-1)</f>
        <v>42.6666666666667</v>
      </c>
      <c r="FV11" s="42" t="n">
        <f aca="false">IF(Tasks[[#This Row],[_IsLeaf]]=1,MAX(N(Tasks[[#This Row],[_Days]]),0.1),0)</f>
        <v>8</v>
      </c>
      <c r="FW11" s="42" t="n">
        <f aca="false">Tasks[[#This Row],[_WeightDur]]*Tasks[[#This Row],[_LeafProgress]]</f>
        <v>8</v>
      </c>
      <c r="FX11" s="42" t="n">
        <f aca="false">Tasks[[#This Row],[_WeightDur]]*Tasks[[#This Row],[_PlannedPct]]</f>
        <v>8</v>
      </c>
      <c r="FY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Z11" s="42" t="str">
        <f aca="false">IF(AND(Tasks[[#This Row],[_IsLeaf]]=1,N(Tasks[[#This Row],[_Days]])=0,Tasks[[#This Row],[_LeafProgress]]&lt;1),Tasks[[#This Row],[_ShownFcstFinish]]+Tasks[[#This Row],[_Row]]/100000,"")</f>
        <v/>
      </c>
      <c r="GA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1" s="42" t="str">
        <f aca="false">IF(Tasks[[#This Row],[Task Name]]="","",LEFT(Tasks[[#This Row],[WBS]],FIND(".",Tasks[[#This Row],[WBS]]&amp;".")-1))</f>
        <v>2</v>
      </c>
      <c r="GC11" s="42" t="str">
        <f aca="false">IF(AND(Tasks[[#This Row],[Task Name]]&lt;&gt;"",Tasks[[#This Row],[_Level]]=1),Tasks[[#This Row],[_Row]],"")</f>
        <v/>
      </c>
      <c r="GD11" s="42" t="str">
        <f aca="false">IF(AND(Tasks[[#This Row],[_IsLeaf]]=1,N(Tasks[[#This Row],[_Days]])=0),Tasks[[#This Row],[Planned Finish]]+Tasks[[#This Row],[_Row]]/100000,"")</f>
        <v/>
      </c>
      <c r="GE11" s="42" t="str">
        <f aca="false">IF(AND(Tasks[[#This Row],[_IsLeaf]]=1,Tasks[[#This Row],[_LeafProgress]]&lt;1,OR(N(Tasks[[#This Row],[Finish Var]])&gt;0,Tasks[[#This Row],[Status]]="Late Start")),MAX(0,Tasks[[#This Row],[Finish Var]])+1-Tasks[[#This Row],[_Row]]/1000000,"")</f>
        <v/>
      </c>
      <c r="GF11" s="42" t="str">
        <f aca="false">IF(AND(Tasks[[#This Row],[_IsLeaf]]=1,N(Tasks[[#This Row],[Actual Start]])=0,Tasks[[#This Row],[_ShownFcstStart]]&gt;=StatusDate,Tasks[[#This Row],[_ShownFcstStart]]&lt;=LookaheadEnd),Tasks[[#This Row],[_ShownFcstStart]]+Tasks[[#This Row],[_Row]]/100000,"")</f>
        <v/>
      </c>
      <c r="GG11" s="42" t="str">
        <f aca="false">IF(AND(Tasks[[#This Row],[_IsLeaf]]=1,Tasks[[#This Row],[_LeafProgress]]&lt;1,Tasks[[#This Row],[_ShownFcstFinish]]&gt;=StatusDate,Tasks[[#This Row],[_ShownFcstFinish]]&lt;=LookaheadEnd),Tasks[[#This Row],[_ShownFcstFinish]]+Tasks[[#This Row],[_Row]]/100000,"")</f>
        <v/>
      </c>
      <c r="GH11" s="42" t="str">
        <f aca="false">IF(Tasks[[#This Row],[_LeafCritical]],Tasks[[#This Row],[_ShownFcstStart]]+Tasks[[#This Row],[_Row]]/100000,"")</f>
        <v/>
      </c>
      <c r="GI11" s="42" t="n">
        <f aca="false">Tasks[[#This Row],[_LeafWork]]*Tasks[[#This Row],[_LeafProgress]]</f>
        <v>64</v>
      </c>
      <c r="GJ11" s="89" t="n">
        <f aca="false">IF(AND(Tasks[[#This Row],[_IsLeaf]]=1,Tasks[[#This Row],[_LeafProgress]]&gt;=1),IF(N(Tasks[[#This Row],[Actual Finish]])&gt;0,Tasks[[#This Row],[Actual Finish]],Tasks[[#This Row],[_ShownFcstFinish]]),"")</f>
        <v>46290</v>
      </c>
      <c r="GK11" s="42" t="n">
        <f aca="false">IF(Tasks[[#This Row],[_IsLeaf]]=1,N(Tasks[[#This Row],[Story Points]]),0)</f>
        <v>0</v>
      </c>
      <c r="GL11" s="42" t="str">
        <f aca="false">""</f>
        <v/>
      </c>
      <c r="GM11" s="88" t="b">
        <f aca="false">IF(Tasks[[#This Row],[Task Name]]="",FALSE(),AND(Tasks[[#This Row],[_IsLeaf]]=1,N(Tasks[[#This Row],[_Days]])=0))</f>
        <v>0</v>
      </c>
      <c r="GN11" s="89" t="n">
        <f aca="false">IF(Tasks[[#This Row],[Task Name]]="",0,IF(AND(Tasks[[#This Row],[_IsLeaf]]=1,NOT(Tasks[[#This Row],[_IsMilestone]]),N(Tasks[[#This Row],[Progress]])&gt;0),Tasks[[#This Row],[Start]],0))</f>
        <v>46280</v>
      </c>
      <c r="GO11" s="89" t="n">
        <f aca="false">IF(Tasks[[#This Row],[_DoneFrom]]=0,0,IF(Tasks[[#This Row],[Progress]]&gt;=1,Tasks[[#This Row],[Finish]],MAX(Tasks[[#This Row],[_DoneFrom]],Tasks[[#This Row],[Start]]+ROUND((Tasks[[#This Row],[Finish]]-Tasks[[#This Row],[Start]]+1)*Tasks[[#This Row],[Progress]],0)-1)))</f>
        <v>46290</v>
      </c>
      <c r="GP11" s="89" t="n">
        <f aca="false">IF(Tasks[[#This Row],[Task Name]]="",0,IF(OR(NOT(Tasks[[#This Row],[_IsLeaf]]=1),Tasks[[#This Row],[_IsMilestone]],N(Tasks[[#This Row],[Progress]])&gt;=1),0,IF(Tasks[[#This Row],[_DoneTo]]&gt;0,Tasks[[#This Row],[_DoneTo]]+1,Tasks[[#This Row],[Start]])))</f>
        <v>0</v>
      </c>
      <c r="GQ11" s="89" t="n">
        <f aca="false">IF(Tasks[[#This Row],[_RemFrom]]=0,0,Tasks[[#This Row],[Finish]])</f>
        <v>0</v>
      </c>
      <c r="GR11" s="88" t="b">
        <f aca="false">IF(Tasks[[#This Row],[Task Name]]="",FALSE(),OR(NOT(BaselineSet),N(Tasks[[#This Row],[Baseline Start]])&gt;0))</f>
        <v>1</v>
      </c>
      <c r="GS11"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GT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GU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11" s="90" t="n">
        <f aca="false">IF(Tasks[[#This Row],[_IsLeaf]]=1,Tasks[[#This Row],[_Row]],"")</f>
        <v>6</v>
      </c>
      <c r="GW11" s="90" t="str">
        <f aca="false">IFERROR(INDEX(Tasks[UID],SMALL(Tasks[_PickKey],Tasks[[#This Row],[_Row]]))&amp;" "&amp;INDEX(Tasks[Task Name],SMALL(Tasks[_PickKey],Tasks[[#This Row],[_Row]])),"")</f>
        <v>9 Design sign-off</v>
      </c>
      <c r="GX11" s="42" t="n">
        <f aca="false">IF(Tasks[[#This Row],[Task Name]]="","",IF(Tasks[[#This Row],[_IsSummary]],NETWORKDAYS.INTL(Tasks[[#This Row],[Start]],Tasks[[#This Row],[Finish]],WorkWeek,Holidays),N(Tasks[[#This Row],[_Days]])))</f>
        <v>8</v>
      </c>
    </row>
    <row r="12" customFormat="false" ht="15" hidden="false" customHeight="false" outlineLevel="1" collapsed="false">
      <c r="A12" s="21" t="n">
        <f aca="false">IF(Tasks[[#This Row],[Task Name]]="","",COUNTA(Tasks[[#Headers],[Task Name]]:Tasks[[#This Row],[Task Name]])-1)</f>
        <v>7</v>
      </c>
      <c r="B12" s="22" t="n">
        <v>8</v>
      </c>
      <c r="C12" s="22" t="n">
        <v>2</v>
      </c>
      <c r="D12" s="91" t="s">
        <v>618</v>
      </c>
      <c r="E12" s="22" t="n">
        <v>6</v>
      </c>
      <c r="F12" s="23" t="n">
        <v>6</v>
      </c>
      <c r="G12" s="22"/>
      <c r="H12" s="22"/>
      <c r="I12" s="23"/>
      <c r="J12" s="22"/>
      <c r="K12" s="22"/>
      <c r="L12" s="23"/>
      <c r="M12" s="22"/>
      <c r="N12" s="22"/>
      <c r="O12" s="23"/>
      <c r="P12" s="22"/>
      <c r="Q12" s="22"/>
      <c r="R12" s="23"/>
      <c r="S12" s="23" t="s">
        <v>619</v>
      </c>
      <c r="T12" s="83"/>
      <c r="U12" s="23"/>
      <c r="V12" s="83"/>
      <c r="W12" s="23"/>
      <c r="X12" s="83"/>
      <c r="Y12" s="23"/>
      <c r="Z12" s="83"/>
      <c r="AA12" s="23"/>
      <c r="AB12" s="23" t="s">
        <v>139</v>
      </c>
      <c r="AC12" s="7" t="n">
        <v>46293</v>
      </c>
      <c r="AD12" s="7" t="n">
        <v>46301</v>
      </c>
      <c r="AE12" s="62" t="n">
        <f aca="false">IF(Tasks[[#This Row],[Task Name]]="","",IF(Tasks[[#This Row],[_IsSummary]],MIN(INDEX(Tasks[_ShownFcstStart],Tasks[[#This Row],[_Row]]+1):INDEX(Tasks[_ShownFcstStart],Tasks[[#This Row],[_Row]]+Tasks[[#This Row],[_Descendants]])),Tasks[[#This Row],[_ShownFcstStart]]))</f>
        <v>46293</v>
      </c>
      <c r="AF12" s="62"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 s="7"/>
      <c r="AK12" s="22" t="s">
        <v>235</v>
      </c>
      <c r="AL12" s="23"/>
      <c r="AM12" s="7"/>
      <c r="AN12" s="46"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2" t="n">
        <f aca="false">IF(Tasks[[#This Row],[Task Name]]="","",IF(N(Tasks[[#This Row],[Baseline Start]])&gt;0,Tasks[[#This Row],[Baseline Start]],Tasks[[#This Row],[_CalcStart]]))</f>
        <v>46289</v>
      </c>
      <c r="AR12" s="62" t="n">
        <f aca="false">IF(Tasks[[#This Row],[Task Name]]="","",IF(N(Tasks[[#This Row],[Baseline Finish]])&gt;0,Tasks[[#This Row],[Baseline Finish]],Tasks[[#This Row],[_CalcFinish]]))</f>
        <v>46296</v>
      </c>
      <c r="AS12" s="46" t="n">
        <f aca="false">IF(Tasks[[#This Row],[Task Name]]="","",IF(Tasks[[#This Row],[Start]]&gt;=Tasks[[#This Row],[Planned Start]],NETWORKDAYS.INTL(Tasks[[#This Row],[Planned Start]],Tasks[[#This Row],[Start]],WorkWeek,Holidays)-1,1-NETWORKDAYS.INTL(Tasks[[#This Row],[Start]],Tasks[[#This Row],[Planned Start]],WorkWeek,Holidays)))</f>
        <v>2</v>
      </c>
      <c r="AT12" s="62" t="n">
        <f aca="false">IF(Tasks[[#This Row],[Task Name]]="","",IF(Tasks[[#This Row],[_IsSummary]],MIN(INDEX(Tasks[_LeafLateStart],Tasks[[#This Row],[_Row]]+1):INDEX(Tasks[_LeafLateStart],Tasks[[#This Row],[_Row]]+Tasks[[#This Row],[_Descendants]])),Tasks[[#This Row],[_LeafLateStart]]))</f>
        <v>46295</v>
      </c>
      <c r="AU12" s="62" t="n">
        <f aca="false">IF(Tasks[[#This Row],[Task Name]]="","",IF(Tasks[[#This Row],[_IsSummary]],MAX(INDEX(Tasks[_LeafLateFinish],Tasks[[#This Row],[_Row]]+1):INDEX(Tasks[_LeafLateFinish],Tasks[[#This Row],[_Row]]+Tasks[[#This Row],[_Descendants]])),Tasks[[#This Row],[_LeafLateFinish]]))</f>
        <v>46302</v>
      </c>
      <c r="AV12" s="46"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4"/>
      <c r="BA12"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5"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6"/>
      <c r="BJ12" s="22"/>
      <c r="BK12" s="46" t="n">
        <f aca="false">IF(OR(Tasks[[#This Row],[Task Name]]="",Tasks[[#This Row],[Baseline Duration]]=""),"",Tasks[[#This Row],[_SpanDays]]-N(Tasks[[#This Row],[Baseline Duration]]))</f>
        <v>0</v>
      </c>
      <c r="BL12" s="85" t="n">
        <f aca="false">IF(OR(Tasks[[#This Row],[Task Name]]="",Tasks[[#This Row],[Baseline Work]]=""),"",Tasks[[#This Row],[Work]]-N(Tasks[[#This Row],[Baseline Work]]))</f>
        <v>0</v>
      </c>
      <c r="BM12" s="62" t="n">
        <f aca="false">IF(Tasks[[#This Row],[Task Name]]="","",IF(OR(TakeBaseline="Yes",N(Tasks[[#This Row],[Baseline Start]])=0),Tasks[[#This Row],[Start]],Tasks[[#This Row],[Baseline Start]]))</f>
        <v>46289</v>
      </c>
      <c r="BN12" s="62"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5" t="n">
        <f aca="false">IF(Tasks[[#This Row],[Task Name]]="","",IF(OR(TakeBaseline="Yes",N(Tasks[[#This Row],[Baseline Work]])=0),Tasks[[#This Row],[Work]],Tasks[[#This Row],[Baseline Work]]))</f>
        <v>48</v>
      </c>
      <c r="BQ12" s="7" t="n">
        <v>46289</v>
      </c>
      <c r="BR12" s="7" t="n">
        <v>46296</v>
      </c>
      <c r="BS12" s="22" t="n">
        <v>6</v>
      </c>
      <c r="BT12" s="87" t="n">
        <v>48</v>
      </c>
      <c r="BU12" s="42" t="n">
        <f aca="false">IF(Tasks[[#This Row],[Task Name]]="","",MAX(1,N(Tasks[[#This Row],[Level]])))</f>
        <v>2</v>
      </c>
      <c r="BV12" s="42" t="n">
        <f aca="false">ROW()-ROW(Tasks[[#Headers],[ID]])</f>
        <v>7</v>
      </c>
      <c r="BW12" s="42" t="n">
        <f aca="false">IF(OR(Tasks[[#This Row],[Task Name]]="",Tasks[[#This Row],[_Level]]&lt;=1),0,IFERROR(LOOKUP(2,1/(Tasks[[#Headers],[_Level]]:Tasks[[#This Row],[_Level]]=Tasks[[#This Row],[_Level]]-1),ROW(Tasks[[#Headers],[_Level]]:Tasks[[#This Row],[_Level]])),0))</f>
        <v>10</v>
      </c>
      <c r="BX12" s="42" t="n">
        <f aca="false">IFERROR(N(INDEX(Tasks[_Level],Tasks[[#This Row],[_Row]]+1)),0)</f>
        <v>2</v>
      </c>
      <c r="BY12" s="88" t="b">
        <f aca="false">AND(Tasks[[#This Row],[Task Name]]&lt;&gt;"",Tasks[[#This Row],[_NextLevel]]&gt;Tasks[[#This Row],[_Level]])</f>
        <v>0</v>
      </c>
      <c r="BZ12" s="42" t="n">
        <f aca="false">IF(Tasks[[#This Row],[_IsSummary]],COUNTIF(Tasks[WBS],Tasks[[#This Row],[WBS]]&amp;".*"),0)</f>
        <v>0</v>
      </c>
      <c r="CA12" s="42" t="n">
        <f aca="false">IF(AND(Tasks[[#This Row],[Task Name]]&lt;&gt;"",NOT(Tasks[[#This Row],[_IsSummary]])),1,0)</f>
        <v>1</v>
      </c>
      <c r="CB12" s="42" t="n">
        <f aca="false">IF(N(Tasks[[#This Row],[_Pred1UID]])=0,0,IFERROR(MATCH(Tasks[[#This Row],[_Pred1UID]],Tasks[UID],0),-1))</f>
        <v>6</v>
      </c>
      <c r="CC12" s="42" t="n">
        <f aca="false">IF(N(Tasks[[#This Row],[_Pred2UID]])=0,0,IFERROR(MATCH(Tasks[[#This Row],[_Pred2UID]],Tasks[UID],0),-1))</f>
        <v>0</v>
      </c>
      <c r="CD12" s="42" t="n">
        <f aca="false">IF(N(Tasks[[#This Row],[_Pred3UID]])=0,0,IFERROR(MATCH(Tasks[[#This Row],[_Pred3UID]],Tasks[UID],0),-1))</f>
        <v>0</v>
      </c>
      <c r="CE12" s="42" t="n">
        <f aca="false">IF(N(Tasks[[#This Row],[_Pred4UID]])=0,0,IFERROR(MATCH(Tasks[[#This Row],[_Pred4UID]],Tasks[UID],0),-1))</f>
        <v>0</v>
      </c>
      <c r="CF12"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 s="89" t="n">
        <f aca="false">IF(OR(Tasks[[#This Row],[_ConstraintCode]]=2,Tasks[[#This Row],[_ConstraintCode]]=3,Tasks[[#This Row],[_ConstraintCode]]=4,Tasks[[#This Row],[_ConstraintCode]]=6),Tasks[[#This Row],[_ConstraintStart]],0)</f>
        <v>0</v>
      </c>
      <c r="CI12" s="89" t="n">
        <f aca="false">IF(OR(Tasks[[#This Row],[_ConstraintCode]]=2,Tasks[[#This Row],[_ConstraintCode]]=3,Tasks[[#This Row],[_ConstraintCode]]=5,Tasks[[#This Row],[_ConstraintCode]]=7),Tasks[[#This Row],[_ConstraintStart]],2958465)</f>
        <v>2958465</v>
      </c>
      <c r="CJ12"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K12" s="89" t="n">
        <f aca="false">IF(NOT(Tasks[[#This Row],[_IsLeaf]]=1),"",IF(N(Tasks[[#This Row],[_Days]])&lt;=0,Tasks[[#This Row],[_LeafCalcStart]],WORKDAY.INTL(Tasks[[#This Row],[_LeafCalcStart]],Tasks[[#This Row],[_Days]]-1,WorkWeek,Holidays)))</f>
        <v>46296</v>
      </c>
      <c r="CL12"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M12"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2" s="42" t="str">
        <f aca="false">IF(Tasks[[#This Row],[_Predecessors]]="","",TRIM(MID(SUBSTITUTE(SUBSTITUTE(SUBSTITUTE(UPPER(Tasks[[#This Row],[_Predecessors]]),";",",")," ",""),",",REPT(" ",99)),1,99)))</f>
        <v>6</v>
      </c>
      <c r="CO12" s="42" t="n">
        <f aca="false">IF(Tasks[[#This Row],[_Pred1Text]]="","",IFERROR(VALUE(LEFT(Tasks[[#This Row],[_Pred1Text]],MIN(FIND("F",Tasks[[#This Row],[_Pred1Text]]&amp;"F"),FIND("S",Tasks[[#This Row],[_Pred1Text]]&amp;"S"),FIND("+",Tasks[[#This Row],[_Pred1Text]]&amp;"+"),FIND("-",Tasks[[#This Row],[_Pred1Text]]&amp;"-"))-1)),""))</f>
        <v>6</v>
      </c>
      <c r="CP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2"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2" s="42" t="str">
        <f aca="false">IF(Tasks[[#This Row],[_Pred1Text]]="","",TRIM(MID(SUBSTITUTE(SUBSTITUTE(SUBSTITUTE(UPPER(Tasks[[#This Row],[_Predecessors]]),";",",")," ",""),",",REPT(" ",99)),100,99)))</f>
        <v/>
      </c>
      <c r="CS12" s="42" t="str">
        <f aca="false">IF(Tasks[[#This Row],[_Pred2Text]]="","",IFERROR(VALUE(LEFT(Tasks[[#This Row],[_Pred2Text]],MIN(FIND("F",Tasks[[#This Row],[_Pred2Text]]&amp;"F"),FIND("S",Tasks[[#This Row],[_Pred2Text]]&amp;"S"),FIND("+",Tasks[[#This Row],[_Pred2Text]]&amp;"+"),FIND("-",Tasks[[#This Row],[_Pred2Text]]&amp;"-"))-1)),""))</f>
        <v/>
      </c>
      <c r="CT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 s="42" t="str">
        <f aca="false">IF(Tasks[[#This Row],[_Pred2Text]]="","",TRIM(MID(SUBSTITUTE(SUBSTITUTE(SUBSTITUTE(UPPER(Tasks[[#This Row],[_Predecessors]]),";",",")," ",""),",",REPT(" ",99)),199,99)))</f>
        <v/>
      </c>
      <c r="CW12" s="42" t="str">
        <f aca="false">IF(Tasks[[#This Row],[_Pred3Text]]="","",IFERROR(VALUE(LEFT(Tasks[[#This Row],[_Pred3Text]],MIN(FIND("F",Tasks[[#This Row],[_Pred3Text]]&amp;"F"),FIND("S",Tasks[[#This Row],[_Pred3Text]]&amp;"S"),FIND("+",Tasks[[#This Row],[_Pred3Text]]&amp;"+"),FIND("-",Tasks[[#This Row],[_Pred3Text]]&amp;"-"))-1)),""))</f>
        <v/>
      </c>
      <c r="CX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 s="42" t="str">
        <f aca="false">IF(Tasks[[#This Row],[_Pred3Text]]="","",TRIM(MID(SUBSTITUTE(SUBSTITUTE(SUBSTITUTE(UPPER(Tasks[[#This Row],[_Predecessors]]),";",",")," ",""),",",REPT(" ",99)),298,99)))</f>
        <v/>
      </c>
      <c r="DA12" s="42" t="str">
        <f aca="false">IF(Tasks[[#This Row],[_Pred4Text]]="","",IFERROR(VALUE(LEFT(Tasks[[#This Row],[_Pred4Text]],MIN(FIND("F",Tasks[[#This Row],[_Pred4Text]]&amp;"F"),FIND("S",Tasks[[#This Row],[_Pred4Text]]&amp;"S"),FIND("+",Tasks[[#This Row],[_Pred4Text]]&amp;"+"),FIND("-",Tasks[[#This Row],[_Pred4Text]]&amp;"-"))-1)),""))</f>
        <v/>
      </c>
      <c r="DB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 s="42" t="str">
        <f aca="false">IF(OR(Tasks[[#This Row],[Task Name]]="",Tasks[[#This Row],[_Resources]]=""),"",TRIM(MID(SUBSTITUTE(Tasks[[#This Row],[_Resources]],",",REPT(" ",99)),1,99)))</f>
        <v>Casey Kim</v>
      </c>
      <c r="DE12" s="42" t="str">
        <f aca="false">IF(Tasks[[#This Row],[_Res1Text]]="","",TRIM(MID(SUBSTITUTE(Tasks[[#This Row],[_Resources]],",",REPT(" ",99)),100,99)))</f>
        <v/>
      </c>
      <c r="DF12" s="42" t="str">
        <f aca="false">IF(Tasks[[#This Row],[_Res2Text]]="","",TRIM(MID(SUBSTITUTE(Tasks[[#This Row],[_Resources]],",",REPT(" ",99)),199,99)))</f>
        <v/>
      </c>
      <c r="DG12" s="42" t="str">
        <f aca="false">IF(Tasks[[#This Row],[_Res3Text]]="","",TRIM(MID(SUBSTITUTE(Tasks[[#This Row],[_Resources]],",",REPT(" ",99)),298,99)))</f>
        <v/>
      </c>
      <c r="DH12" s="42" t="n">
        <f aca="false">IF(Tasks[[#This Row],[_Res1Text]]="",0,IFERROR(MATCH(TRIM(LEFT(Tasks[[#This Row],[_Res1Text]],FIND("[",Tasks[[#This Row],[_Res1Text]]&amp;"[")-1)),res_Name,0),IFERROR(MATCH(TRIM(LEFT(Tasks[[#This Row],[_Res1Text]],FIND("[",Tasks[[#This Row],[_Res1Text]]&amp;"[")-1)),res_Initials,0),0)))</f>
        <v>4</v>
      </c>
      <c r="DI12" s="42" t="n">
        <f aca="false">IF(Tasks[[#This Row],[_Res2Text]]="",0,IFERROR(MATCH(TRIM(LEFT(Tasks[[#This Row],[_Res2Text]],FIND("[",Tasks[[#This Row],[_Res2Text]]&amp;"[")-1)),res_Name,0),IFERROR(MATCH(TRIM(LEFT(Tasks[[#This Row],[_Res2Text]],FIND("[",Tasks[[#This Row],[_Res2Text]]&amp;"[")-1)),res_Initials,0),0)))</f>
        <v>0</v>
      </c>
      <c r="DJ12" s="42" t="n">
        <f aca="false">IF(Tasks[[#This Row],[_Res3Text]]="",0,IFERROR(MATCH(TRIM(LEFT(Tasks[[#This Row],[_Res3Text]],FIND("[",Tasks[[#This Row],[_Res3Text]]&amp;"[")-1)),res_Name,0),IFERROR(MATCH(TRIM(LEFT(Tasks[[#This Row],[_Res3Text]],FIND("[",Tasks[[#This Row],[_Res3Text]]&amp;"[")-1)),res_Initials,0),0)))</f>
        <v>0</v>
      </c>
      <c r="DK12" s="42" t="n">
        <f aca="false">IF(Tasks[[#This Row],[_Res4Text]]="",0,IFERROR(MATCH(TRIM(LEFT(Tasks[[#This Row],[_Res4Text]],FIND("[",Tasks[[#This Row],[_Res4Text]]&amp;"[")-1)),res_Name,0),IFERROR(MATCH(TRIM(LEFT(Tasks[[#This Row],[_Res4Text]],FIND("[",Tasks[[#This Row],[_Res4Text]]&amp;"[")-1)),res_Initials,0),0)))</f>
        <v>0</v>
      </c>
      <c r="DL12" s="42" t="str">
        <f aca="false">IF(Tasks[[#This Row],[_Res1Text]]="","",IF(Tasks[[#This Row],[_Res1Row]]&gt;0,INDEX(res_Name,Tasks[[#This Row],[_Res1Row]]),TRIM(LEFT(Tasks[[#This Row],[_Res1Text]],FIND("[",Tasks[[#This Row],[_Res1Text]]&amp;"[")-1))))</f>
        <v>Casey Kim</v>
      </c>
      <c r="DM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 s="42" t="n">
        <f aca="false">IF(NOT(Tasks[[#This Row],[_IsLeaf]]=1),0,(Tasks[[#This Row],[_Resource1]]&lt;&gt;"")+(Tasks[[#This Row],[_Res2]]&lt;&gt;"")+(Tasks[[#This Row],[_Res3]]&lt;&gt;"")+(Tasks[[#This Row],[_Res4]]&lt;&gt;""))</f>
        <v>1</v>
      </c>
      <c r="DO12" s="42" t="str">
        <f aca="false">IF(Tasks[[#This Row],[_Res2Text]]="","",IF(Tasks[[#This Row],[_Res2Row]]&gt;0,INDEX(res_Name,Tasks[[#This Row],[_Res2Row]]),TRIM(LEFT(Tasks[[#This Row],[_Res2Text]],FIND("[",Tasks[[#This Row],[_Res2Text]]&amp;"[")-1))))</f>
        <v/>
      </c>
      <c r="DP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 s="42" t="n">
        <f aca="false">IF(OR(NOT(Tasks[[#This Row],[_IsLeaf]]=1),Tasks[[#This Row],[_Res2Row]]=0),0,N(Tasks[[#This Row],[_Days]])*HoursPerDay*IF(Tasks[[#This Row],[_Res2Units]]="",DefaultUnits,Tasks[[#This Row],[_Res2Units]]))</f>
        <v>0</v>
      </c>
      <c r="DR12" s="42" t="n">
        <f aca="false">IF(AND(AND(Tasks[[#This Row],[_IsLeaf]]=1,Tasks[[#This Row],[_LeafTotalWork]]&gt;0),Tasks[[#This Row],[_Res2Work]]&gt;0),Tasks[[#This Row],[_Res2Work]]/(Tasks[[#This Row],[_FinishWorkday]]-Tasks[[#This Row],[_StartWorkday]]+1),0)</f>
        <v>0</v>
      </c>
      <c r="DS12" s="42" t="n">
        <f aca="false">Tasks[[#This Row],[_Res2WorkPerWD]]*MAX(0,Tasks[[#This Row],[_StartWorkday]]-1)</f>
        <v>0</v>
      </c>
      <c r="DT12" s="42" t="n">
        <f aca="false">Tasks[[#This Row],[_Res2Work]]*Tasks[[#This Row],[_LeafProgress]]</f>
        <v>0</v>
      </c>
      <c r="DU12" s="42" t="str">
        <f aca="false">IF(Tasks[[#This Row],[_Res3Text]]="","",IF(Tasks[[#This Row],[_Res3Row]]&gt;0,INDEX(res_Name,Tasks[[#This Row],[_Res3Row]]),TRIM(LEFT(Tasks[[#This Row],[_Res3Text]],FIND("[",Tasks[[#This Row],[_Res3Text]]&amp;"[")-1))))</f>
        <v/>
      </c>
      <c r="DV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 s="42" t="n">
        <f aca="false">IF(OR(NOT(Tasks[[#This Row],[_IsLeaf]]=1),Tasks[[#This Row],[_Res3Row]]=0),0,N(Tasks[[#This Row],[_Days]])*HoursPerDay*IF(Tasks[[#This Row],[_Res3Units]]="",DefaultUnits,Tasks[[#This Row],[_Res3Units]]))</f>
        <v>0</v>
      </c>
      <c r="DX12" s="42" t="n">
        <f aca="false">IF(AND(AND(Tasks[[#This Row],[_IsLeaf]]=1,Tasks[[#This Row],[_LeafTotalWork]]&gt;0),Tasks[[#This Row],[_Res3Work]]&gt;0),Tasks[[#This Row],[_Res3Work]]/(Tasks[[#This Row],[_FinishWorkday]]-Tasks[[#This Row],[_StartWorkday]]+1),0)</f>
        <v>0</v>
      </c>
      <c r="DY12" s="42" t="n">
        <f aca="false">Tasks[[#This Row],[_Res3WorkPerWD]]*MAX(0,Tasks[[#This Row],[_StartWorkday]]-1)</f>
        <v>0</v>
      </c>
      <c r="DZ12" s="42" t="n">
        <f aca="false">Tasks[[#This Row],[_Res3Work]]*Tasks[[#This Row],[_LeafProgress]]</f>
        <v>0</v>
      </c>
      <c r="EA12" s="42" t="str">
        <f aca="false">IF(Tasks[[#This Row],[_Res4Text]]="","",IF(Tasks[[#This Row],[_Res4Row]]&gt;0,INDEX(res_Name,Tasks[[#This Row],[_Res4Row]]),TRIM(LEFT(Tasks[[#This Row],[_Res4Text]],FIND("[",Tasks[[#This Row],[_Res4Text]]&amp;"[")-1))))</f>
        <v/>
      </c>
      <c r="EB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 s="42" t="n">
        <f aca="false">IF(OR(NOT(Tasks[[#This Row],[_IsLeaf]]=1),Tasks[[#This Row],[_Res4Row]]=0),0,N(Tasks[[#This Row],[_Days]])*HoursPerDay*IF(Tasks[[#This Row],[_Res4Units]]="",DefaultUnits,Tasks[[#This Row],[_Res4Units]]))</f>
        <v>0</v>
      </c>
      <c r="ED12" s="42" t="n">
        <f aca="false">IF(AND(AND(Tasks[[#This Row],[_IsLeaf]]=1,Tasks[[#This Row],[_LeafTotalWork]]&gt;0),Tasks[[#This Row],[_Res4Work]]&gt;0),Tasks[[#This Row],[_Res4Work]]/(Tasks[[#This Row],[_FinishWorkday]]-Tasks[[#This Row],[_StartWorkday]]+1),0)</f>
        <v>0</v>
      </c>
      <c r="EE12" s="42" t="n">
        <f aca="false">Tasks[[#This Row],[_Res4WorkPerWD]]*MAX(0,Tasks[[#This Row],[_StartWorkday]]-1)</f>
        <v>0</v>
      </c>
      <c r="EF12" s="42" t="n">
        <f aca="false">Tasks[[#This Row],[_Res4Work]]*Tasks[[#This Row],[_LeafProgress]]</f>
        <v>0</v>
      </c>
      <c r="EG12" s="92" t="n">
        <f aca="false">IF(ISNUMBER(Tasks[[#This Row],[% Complete]]),Tasks[[#This Row],[% Complete]],IF(Tasks[[#This Row],[Stage]]="",0,IFERROR(INDEX(stg_Pct,MATCH(Tasks[[#This Row],[Stage]],stg_Name,0)),0)))</f>
        <v>1</v>
      </c>
      <c r="EH12" s="42" t="n">
        <f aca="false">IF(NOT(Tasks[[#This Row],[_IsLeaf]]=1),0,IF(N(Tasks[[#This Row],[Actual Finish]])&gt;0,1,MIN(1,Tasks[[#This Row],[_Pct]])))</f>
        <v>1</v>
      </c>
      <c r="EI12" s="42" t="n">
        <f aca="false">IF(OR(NOT(Tasks[[#This Row],[_IsLeaf]]=1),Tasks[[#This Row],[_Res1Row]]=0),0,N(Tasks[[#This Row],[_Days]])*HoursPerDay*IF(Tasks[[#This Row],[_Units1]]="",DefaultUnits,Tasks[[#This Row],[_Units1]]))</f>
        <v>48</v>
      </c>
      <c r="EJ12" s="42" t="n">
        <f aca="false">Tasks[[#This Row],[_LeafWork]]+Tasks[[#This Row],[_Res2Work]]+Tasks[[#This Row],[_Res3Work]]+Tasks[[#This Row],[_Res4Work]]</f>
        <v>48</v>
      </c>
      <c r="EK12"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L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 s="42" t="n">
        <f aca="false">IF(NOT(Tasks[[#This Row],[_IsLeaf]]=1),0,MAX(_xlfn.MAXIFS(Tasks[_Row],Tasks[_Pred1UID],Tasks[[#This Row],[UID]]),_xlfn.MAXIFS(Tasks[_Row],Tasks[_Pred2UID],Tasks[[#This Row],[UID]]),_xlfn.MAXIFS(Tasks[_Row],Tasks[_Pred3UID],Tasks[[#This Row],[UID]]),_xlfn.MAXIFS(Tasks[_Row],Tasks[_Pred4UID],Tasks[[#This Row],[UID]])))</f>
        <v>8</v>
      </c>
      <c r="ET12"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2"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2" s="89" t="n">
        <f aca="false">IF(NOT(Tasks[[#This Row],[_IsLeaf]]=1),"",IF(N(Tasks[[#This Row],[_Days]])&lt;=0,Tasks[[#This Row],[_LeafLateFinish]],WORKDAY.INTL(Tasks[[#This Row],[_LeafLateFinish]],-(Tasks[[#This Row],[_Days]]-1),WorkWeek,Holidays)))</f>
        <v>46295</v>
      </c>
      <c r="EW12"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2" s="88" t="b">
        <f aca="false">AND(Tasks[[#This Row],[_IsLeaf]]=1,Tasks[[#This Row],[_LeafProgress]]&lt;1,N(Tasks[[#This Row],[_LeafTotalSlack]])&lt;=CriticalSlackDays)</f>
        <v>0</v>
      </c>
      <c r="EY12" s="42" t="n">
        <f aca="false">IF(AND(Tasks[[#This Row],[_IsLeaf]]=1,Tasks[[#This Row],[_ConstraintCode]]=1,Tasks[[#This Row],[Mode]]&lt;&gt;"Manual",N(Tasks[[#This Row],[Actual Start]])=0),MAX(0,N(Tasks[[#This Row],[Free Slack]])),0)</f>
        <v>0</v>
      </c>
      <c r="EZ12" s="89" t="n">
        <f aca="false">IF(NOT(Tasks[[#This Row],[_IsLeaf]]=1),"",IF(Tasks[[#This Row],[_AlapShift]]=0,Tasks[[#This Row],[_LeafCalcStart]],WORKDAY.INTL(Tasks[[#This Row],[_LeafCalcStart]],Tasks[[#This Row],[_AlapShift]],WorkWeek,Holidays)))</f>
        <v>46289</v>
      </c>
      <c r="FA12" s="89" t="n">
        <f aca="false">IF(NOT(Tasks[[#This Row],[_IsLeaf]]=1),"",IF(Tasks[[#This Row],[_AlapShift]]=0,Tasks[[#This Row],[_LeafCalcFinish]],WORKDAY.INTL(Tasks[[#This Row],[_LeafCalcFinish]],Tasks[[#This Row],[_AlapShift]],WorkWeek,Holidays)))</f>
        <v>46296</v>
      </c>
      <c r="FB12" s="89" t="n">
        <f aca="false">IF(NOT(Tasks[[#This Row],[_IsLeaf]]=1),"",IF(Tasks[[#This Row],[_AlapShift]]=0,Tasks[[#This Row],[_LeafFcstStart]],WORKDAY.INTL(Tasks[[#This Row],[_LeafFcstStart]],Tasks[[#This Row],[_AlapShift]],WorkWeek,Holidays)))</f>
        <v>46293</v>
      </c>
      <c r="FC12" s="89" t="n">
        <f aca="false">IF(NOT(Tasks[[#This Row],[_IsLeaf]]=1),"",IF(Tasks[[#This Row],[_AlapShift]]=0,Tasks[[#This Row],[_LeafFcstFinish]],WORKDAY.INTL(Tasks[[#This Row],[_LeafFcstFinish]],Tasks[[#This Row],[_AlapShift]],WorkWeek,Holidays)))</f>
        <v>46301</v>
      </c>
      <c r="FD12" s="89" t="n">
        <f aca="false">IF(Tasks[[#This Row],[Task Name]]="","",IF(Tasks[[#This Row],[_IsSummary]],MIN(INDEX(Tasks[_ShownCalcStart],Tasks[[#This Row],[_Row]]+1):INDEX(Tasks[_ShownCalcStart],Tasks[[#This Row],[_Row]]+Tasks[[#This Row],[_Descendants]])),Tasks[[#This Row],[_ShownCalcStart]]))</f>
        <v>46289</v>
      </c>
      <c r="FE12" s="89" t="n">
        <f aca="false">IF(Tasks[[#This Row],[Task Name]]="","",IF(Tasks[[#This Row],[_IsSummary]],MAX(INDEX(Tasks[_ShownCalcFinish],Tasks[[#This Row],[_Row]]+1):INDEX(Tasks[_ShownCalcFinish],Tasks[[#This Row],[_Row]]+Tasks[[#This Row],[_Descendants]])),Tasks[[#This Row],[_ShownCalcFinish]]))</f>
        <v>46296</v>
      </c>
      <c r="FF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K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O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 s="42" t="n">
        <f aca="false">IF(AND(Tasks[[#This Row],[_IsLeaf]]=1,Tasks[[#This Row],[_LeafTotalWork]]&gt;0),NETWORKDAYS.INTL(ProjectStart,Tasks[[#This Row],[_ShownFcstStart]],WorkWeek,Holidays),0)</f>
        <v>16</v>
      </c>
      <c r="FS12" s="42" t="n">
        <f aca="false">IF(AND(Tasks[[#This Row],[_IsLeaf]]=1,Tasks[[#This Row],[_LeafTotalWork]]&gt;0),MAX(Tasks[[#This Row],[_StartWorkday]],NETWORKDAYS.INTL(ProjectStart,Tasks[[#This Row],[_ShownFcstFinish]],WorkWeek,Holidays)),0)</f>
        <v>22</v>
      </c>
      <c r="FT12" s="42" t="n">
        <f aca="false">IF(AND(Tasks[[#This Row],[_IsLeaf]]=1,Tasks[[#This Row],[_LeafTotalWork]]&gt;0),Tasks[[#This Row],[_LeafWork]]/(Tasks[[#This Row],[_FinishWorkday]]-Tasks[[#This Row],[_StartWorkday]]+1),0)</f>
        <v>6.85714285714286</v>
      </c>
      <c r="FU12" s="42" t="n">
        <f aca="false">Tasks[[#This Row],[_WorkPerWorkday]]*(Tasks[[#This Row],[_StartWorkday]]-1)</f>
        <v>102.857142857143</v>
      </c>
      <c r="FV12" s="42" t="n">
        <f aca="false">IF(Tasks[[#This Row],[_IsLeaf]]=1,MAX(N(Tasks[[#This Row],[_Days]]),0.1),0)</f>
        <v>6</v>
      </c>
      <c r="FW12" s="42" t="n">
        <f aca="false">Tasks[[#This Row],[_WeightDur]]*Tasks[[#This Row],[_LeafProgress]]</f>
        <v>6</v>
      </c>
      <c r="FX12" s="42" t="n">
        <f aca="false">Tasks[[#This Row],[_WeightDur]]*Tasks[[#This Row],[_PlannedPct]]</f>
        <v>6</v>
      </c>
      <c r="FY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Z12" s="42" t="str">
        <f aca="false">IF(AND(Tasks[[#This Row],[_IsLeaf]]=1,N(Tasks[[#This Row],[_Days]])=0,Tasks[[#This Row],[_LeafProgress]]&lt;1),Tasks[[#This Row],[_ShownFcstFinish]]+Tasks[[#This Row],[_Row]]/100000,"")</f>
        <v/>
      </c>
      <c r="GA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2" s="42" t="str">
        <f aca="false">IF(Tasks[[#This Row],[Task Name]]="","",LEFT(Tasks[[#This Row],[WBS]],FIND(".",Tasks[[#This Row],[WBS]]&amp;".")-1))</f>
        <v>2</v>
      </c>
      <c r="GC12" s="42" t="str">
        <f aca="false">IF(AND(Tasks[[#This Row],[Task Name]]&lt;&gt;"",Tasks[[#This Row],[_Level]]=1),Tasks[[#This Row],[_Row]],"")</f>
        <v/>
      </c>
      <c r="GD12" s="42" t="str">
        <f aca="false">IF(AND(Tasks[[#This Row],[_IsLeaf]]=1,N(Tasks[[#This Row],[_Days]])=0),Tasks[[#This Row],[Planned Finish]]+Tasks[[#This Row],[_Row]]/100000,"")</f>
        <v/>
      </c>
      <c r="GE12" s="42" t="str">
        <f aca="false">IF(AND(Tasks[[#This Row],[_IsLeaf]]=1,Tasks[[#This Row],[_LeafProgress]]&lt;1,OR(N(Tasks[[#This Row],[Finish Var]])&gt;0,Tasks[[#This Row],[Status]]="Late Start")),MAX(0,Tasks[[#This Row],[Finish Var]])+1-Tasks[[#This Row],[_Row]]/1000000,"")</f>
        <v/>
      </c>
      <c r="GF12" s="42" t="str">
        <f aca="false">IF(AND(Tasks[[#This Row],[_IsLeaf]]=1,N(Tasks[[#This Row],[Actual Start]])=0,Tasks[[#This Row],[_ShownFcstStart]]&gt;=StatusDate,Tasks[[#This Row],[_ShownFcstStart]]&lt;=LookaheadEnd),Tasks[[#This Row],[_ShownFcstStart]]+Tasks[[#This Row],[_Row]]/100000,"")</f>
        <v/>
      </c>
      <c r="GG12" s="42" t="str">
        <f aca="false">IF(AND(Tasks[[#This Row],[_IsLeaf]]=1,Tasks[[#This Row],[_LeafProgress]]&lt;1,Tasks[[#This Row],[_ShownFcstFinish]]&gt;=StatusDate,Tasks[[#This Row],[_ShownFcstFinish]]&lt;=LookaheadEnd),Tasks[[#This Row],[_ShownFcstFinish]]+Tasks[[#This Row],[_Row]]/100000,"")</f>
        <v/>
      </c>
      <c r="GH12" s="42" t="str">
        <f aca="false">IF(Tasks[[#This Row],[_LeafCritical]],Tasks[[#This Row],[_ShownFcstStart]]+Tasks[[#This Row],[_Row]]/100000,"")</f>
        <v/>
      </c>
      <c r="GI12" s="42" t="n">
        <f aca="false">Tasks[[#This Row],[_LeafWork]]*Tasks[[#This Row],[_LeafProgress]]</f>
        <v>48</v>
      </c>
      <c r="GJ12" s="89" t="n">
        <f aca="false">IF(AND(Tasks[[#This Row],[_IsLeaf]]=1,Tasks[[#This Row],[_LeafProgress]]&gt;=1),IF(N(Tasks[[#This Row],[Actual Finish]])&gt;0,Tasks[[#This Row],[Actual Finish]],Tasks[[#This Row],[_ShownFcstFinish]]),"")</f>
        <v>46301</v>
      </c>
      <c r="GK12" s="42" t="n">
        <f aca="false">IF(Tasks[[#This Row],[_IsLeaf]]=1,N(Tasks[[#This Row],[Story Points]]),0)</f>
        <v>0</v>
      </c>
      <c r="GL12" s="42" t="str">
        <f aca="false">""</f>
        <v/>
      </c>
      <c r="GM12" s="88" t="b">
        <f aca="false">IF(Tasks[[#This Row],[Task Name]]="",FALSE(),AND(Tasks[[#This Row],[_IsLeaf]]=1,N(Tasks[[#This Row],[_Days]])=0))</f>
        <v>0</v>
      </c>
      <c r="GN12" s="89" t="n">
        <f aca="false">IF(Tasks[[#This Row],[Task Name]]="",0,IF(AND(Tasks[[#This Row],[_IsLeaf]]=1,NOT(Tasks[[#This Row],[_IsMilestone]]),N(Tasks[[#This Row],[Progress]])&gt;0),Tasks[[#This Row],[Start]],0))</f>
        <v>46293</v>
      </c>
      <c r="GO12" s="89" t="n">
        <f aca="false">IF(Tasks[[#This Row],[_DoneFrom]]=0,0,IF(Tasks[[#This Row],[Progress]]&gt;=1,Tasks[[#This Row],[Finish]],MAX(Tasks[[#This Row],[_DoneFrom]],Tasks[[#This Row],[Start]]+ROUND((Tasks[[#This Row],[Finish]]-Tasks[[#This Row],[Start]]+1)*Tasks[[#This Row],[Progress]],0)-1)))</f>
        <v>46301</v>
      </c>
      <c r="GP12" s="89" t="n">
        <f aca="false">IF(Tasks[[#This Row],[Task Name]]="",0,IF(OR(NOT(Tasks[[#This Row],[_IsLeaf]]=1),Tasks[[#This Row],[_IsMilestone]],N(Tasks[[#This Row],[Progress]])&gt;=1),0,IF(Tasks[[#This Row],[_DoneTo]]&gt;0,Tasks[[#This Row],[_DoneTo]]+1,Tasks[[#This Row],[Start]])))</f>
        <v>0</v>
      </c>
      <c r="GQ12" s="89" t="n">
        <f aca="false">IF(Tasks[[#This Row],[_RemFrom]]=0,0,Tasks[[#This Row],[Finish]])</f>
        <v>0</v>
      </c>
      <c r="GR12" s="88" t="b">
        <f aca="false">IF(Tasks[[#This Row],[Task Name]]="",FALSE(),OR(NOT(BaselineSet),N(Tasks[[#This Row],[Baseline Start]])&gt;0))</f>
        <v>1</v>
      </c>
      <c r="GS12"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GT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GU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GV12" s="90" t="n">
        <f aca="false">IF(Tasks[[#This Row],[_IsLeaf]]=1,Tasks[[#This Row],[_Row]],"")</f>
        <v>7</v>
      </c>
      <c r="GW12" s="90" t="str">
        <f aca="false">IFERROR(INDEX(Tasks[UID],SMALL(Tasks[_PickKey],Tasks[[#This Row],[_Row]]))&amp;" "&amp;INDEX(Tasks[Task Name],SMALL(Tasks[_PickKey],Tasks[[#This Row],[_Row]])),"")</f>
        <v>21 System integration testing</v>
      </c>
      <c r="GX12" s="42" t="n">
        <f aca="false">IF(Tasks[[#This Row],[Task Name]]="","",IF(Tasks[[#This Row],[_IsSummary]],NETWORKDAYS.INTL(Tasks[[#This Row],[Start]],Tasks[[#This Row],[Finish]],WorkWeek,Holidays),N(Tasks[[#This Row],[_Days]])))</f>
        <v>6</v>
      </c>
    </row>
    <row r="13" customFormat="false" ht="15" hidden="false" customHeight="false" outlineLevel="1" collapsed="false">
      <c r="A13" s="21" t="n">
        <f aca="false">IF(Tasks[[#This Row],[Task Name]]="","",COUNTA(Tasks[[#Headers],[Task Name]]:Tasks[[#This Row],[Task Name]])-1)</f>
        <v>8</v>
      </c>
      <c r="B13" s="22" t="n">
        <v>9</v>
      </c>
      <c r="C13" s="22" t="n">
        <v>2</v>
      </c>
      <c r="D13" s="91" t="s">
        <v>620</v>
      </c>
      <c r="E13" s="22" t="n">
        <v>0</v>
      </c>
      <c r="F13" s="23" t="n">
        <v>8</v>
      </c>
      <c r="G13" s="22"/>
      <c r="H13" s="22"/>
      <c r="I13" s="23"/>
      <c r="J13" s="22"/>
      <c r="K13" s="22"/>
      <c r="L13" s="23"/>
      <c r="M13" s="22"/>
      <c r="N13" s="22"/>
      <c r="O13" s="23"/>
      <c r="P13" s="22"/>
      <c r="Q13" s="22"/>
      <c r="R13" s="23"/>
      <c r="S13" s="23"/>
      <c r="T13" s="83"/>
      <c r="U13" s="23"/>
      <c r="V13" s="83"/>
      <c r="W13" s="23"/>
      <c r="X13" s="83"/>
      <c r="Y13" s="23"/>
      <c r="Z13" s="83"/>
      <c r="AA13" s="23"/>
      <c r="AB13" s="23" t="s">
        <v>139</v>
      </c>
      <c r="AC13" s="7" t="n">
        <v>46301</v>
      </c>
      <c r="AD13" s="7" t="n">
        <v>46301</v>
      </c>
      <c r="AE13" s="62" t="n">
        <f aca="false">IF(Tasks[[#This Row],[Task Name]]="","",IF(Tasks[[#This Row],[_IsSummary]],MIN(INDEX(Tasks[_ShownFcstStart],Tasks[[#This Row],[_Row]]+1):INDEX(Tasks[_ShownFcstStart],Tasks[[#This Row],[_Row]]+Tasks[[#This Row],[_Descendants]])),Tasks[[#This Row],[_ShownFcstStart]]))</f>
        <v>46301</v>
      </c>
      <c r="AF13" s="62" t="n">
        <f aca="false">IF(Tasks[[#This Row],[Task Name]]="","",IF(Tasks[[#This Row],[_IsSummary]],MAX(INDEX(Tasks[_ShownFcstFinish],Tasks[[#This Row],[_Row]]+1):INDEX(Tasks[_ShownFcstFinish],Tasks[[#This Row],[_Row]]+Tasks[[#This Row],[_Descendants]])),Tasks[[#This Row],[_ShownFcstFinish]]))</f>
        <v>46301</v>
      </c>
      <c r="AG13" s="21" t="str">
        <f aca="false">""</f>
        <v/>
      </c>
      <c r="AH13" s="23" t="s">
        <v>621</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 s="7"/>
      <c r="AK13" s="22" t="s">
        <v>235</v>
      </c>
      <c r="AL13" s="23"/>
      <c r="AM13" s="7"/>
      <c r="AN13" s="46"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2" t="n">
        <f aca="false">IF(Tasks[[#This Row],[Task Name]]="","",IF(N(Tasks[[#This Row],[Baseline Start]])&gt;0,Tasks[[#This Row],[Baseline Start]],Tasks[[#This Row],[_CalcStart]]))</f>
        <v>46296</v>
      </c>
      <c r="AR13" s="62" t="n">
        <f aca="false">IF(Tasks[[#This Row],[Task Name]]="","",IF(N(Tasks[[#This Row],[Baseline Finish]])&gt;0,Tasks[[#This Row],[Baseline Finish]],Tasks[[#This Row],[_CalcFinish]]))</f>
        <v>46296</v>
      </c>
      <c r="AS13" s="46" t="n">
        <f aca="false">IF(Tasks[[#This Row],[Task Name]]="","",IF(Tasks[[#This Row],[Start]]&gt;=Tasks[[#This Row],[Planned Start]],NETWORKDAYS.INTL(Tasks[[#This Row],[Planned Start]],Tasks[[#This Row],[Start]],WorkWeek,Holidays)-1,1-NETWORKDAYS.INTL(Tasks[[#This Row],[Start]],Tasks[[#This Row],[Planned Start]],WorkWeek,Holidays)))</f>
        <v>3</v>
      </c>
      <c r="AT13" s="62" t="n">
        <f aca="false">IF(Tasks[[#This Row],[Task Name]]="","",IF(Tasks[[#This Row],[_IsSummary]],MIN(INDEX(Tasks[_LeafLateStart],Tasks[[#This Row],[_Row]]+1):INDEX(Tasks[_LeafLateStart],Tasks[[#This Row],[_Row]]+Tasks[[#This Row],[_Descendants]])),Tasks[[#This Row],[_LeafLateStart]]))</f>
        <v>46302</v>
      </c>
      <c r="AU13" s="62" t="n">
        <f aca="false">IF(Tasks[[#This Row],[Task Name]]="","",IF(Tasks[[#This Row],[_IsSummary]],MAX(INDEX(Tasks[_LeafLateFinish],Tasks[[#This Row],[_Row]]+1):INDEX(Tasks[_LeafLateFinish],Tasks[[#This Row],[_Row]]+Tasks[[#This Row],[_Descendants]])),Tasks[[#This Row],[_LeafLateFinish]]))</f>
        <v>46302</v>
      </c>
      <c r="AV13" s="46"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4"/>
      <c r="BA13"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5"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6"/>
      <c r="BJ13" s="22"/>
      <c r="BK13" s="46" t="n">
        <f aca="false">IF(OR(Tasks[[#This Row],[Task Name]]="",Tasks[[#This Row],[Baseline Duration]]=""),"",Tasks[[#This Row],[_SpanDays]]-N(Tasks[[#This Row],[Baseline Duration]]))</f>
        <v>0</v>
      </c>
      <c r="BL13" s="85" t="n">
        <f aca="false">IF(OR(Tasks[[#This Row],[Task Name]]="",Tasks[[#This Row],[Baseline Work]]=""),"",Tasks[[#This Row],[Work]]-N(Tasks[[#This Row],[Baseline Work]]))</f>
        <v>0</v>
      </c>
      <c r="BM13" s="62" t="n">
        <f aca="false">IF(Tasks[[#This Row],[Task Name]]="","",IF(OR(TakeBaseline="Yes",N(Tasks[[#This Row],[Baseline Start]])=0),Tasks[[#This Row],[Start]],Tasks[[#This Row],[Baseline Start]]))</f>
        <v>46296</v>
      </c>
      <c r="BN13" s="62"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5" t="n">
        <f aca="false">IF(Tasks[[#This Row],[Task Name]]="","",IF(OR(TakeBaseline="Yes",N(Tasks[[#This Row],[Baseline Work]])=0),Tasks[[#This Row],[Work]],Tasks[[#This Row],[Baseline Work]]))</f>
        <v>0</v>
      </c>
      <c r="BQ13" s="7" t="n">
        <v>46296</v>
      </c>
      <c r="BR13" s="7" t="n">
        <v>46296</v>
      </c>
      <c r="BS13" s="22" t="n">
        <v>0</v>
      </c>
      <c r="BT13" s="87" t="n">
        <v>0</v>
      </c>
      <c r="BU13" s="42" t="n">
        <f aca="false">IF(Tasks[[#This Row],[Task Name]]="","",MAX(1,N(Tasks[[#This Row],[Level]])))</f>
        <v>2</v>
      </c>
      <c r="BV13" s="42" t="n">
        <f aca="false">ROW()-ROW(Tasks[[#Headers],[ID]])</f>
        <v>8</v>
      </c>
      <c r="BW13" s="42" t="n">
        <f aca="false">IF(OR(Tasks[[#This Row],[Task Name]]="",Tasks[[#This Row],[_Level]]&lt;=1),0,IFERROR(LOOKUP(2,1/(Tasks[[#Headers],[_Level]]:Tasks[[#This Row],[_Level]]=Tasks[[#This Row],[_Level]]-1),ROW(Tasks[[#Headers],[_Level]]:Tasks[[#This Row],[_Level]])),0))</f>
        <v>10</v>
      </c>
      <c r="BX13" s="42" t="n">
        <f aca="false">IFERROR(N(INDEX(Tasks[_Level],Tasks[[#This Row],[_Row]]+1)),0)</f>
        <v>1</v>
      </c>
      <c r="BY13" s="88" t="b">
        <f aca="false">AND(Tasks[[#This Row],[Task Name]]&lt;&gt;"",Tasks[[#This Row],[_NextLevel]]&gt;Tasks[[#This Row],[_Level]])</f>
        <v>0</v>
      </c>
      <c r="BZ13" s="42" t="n">
        <f aca="false">IF(Tasks[[#This Row],[_IsSummary]],COUNTIF(Tasks[WBS],Tasks[[#This Row],[WBS]]&amp;".*"),0)</f>
        <v>0</v>
      </c>
      <c r="CA13" s="42" t="n">
        <f aca="false">IF(AND(Tasks[[#This Row],[Task Name]]&lt;&gt;"",NOT(Tasks[[#This Row],[_IsSummary]])),1,0)</f>
        <v>1</v>
      </c>
      <c r="CB13" s="42" t="n">
        <f aca="false">IF(N(Tasks[[#This Row],[_Pred1UID]])=0,0,IFERROR(MATCH(Tasks[[#This Row],[_Pred1UID]],Tasks[UID],0),-1))</f>
        <v>7</v>
      </c>
      <c r="CC13" s="42" t="n">
        <f aca="false">IF(N(Tasks[[#This Row],[_Pred2UID]])=0,0,IFERROR(MATCH(Tasks[[#This Row],[_Pred2UID]],Tasks[UID],0),-1))</f>
        <v>0</v>
      </c>
      <c r="CD13" s="42" t="n">
        <f aca="false">IF(N(Tasks[[#This Row],[_Pred3UID]])=0,0,IFERROR(MATCH(Tasks[[#This Row],[_Pred3UID]],Tasks[UID],0),-1))</f>
        <v>0</v>
      </c>
      <c r="CE13" s="42" t="n">
        <f aca="false">IF(N(Tasks[[#This Row],[_Pred4UID]])=0,0,IFERROR(MATCH(Tasks[[#This Row],[_Pred4UID]],Tasks[UID],0),-1))</f>
        <v>0</v>
      </c>
      <c r="CF13"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 s="89" t="n">
        <f aca="false">IF(OR(Tasks[[#This Row],[_ConstraintCode]]=2,Tasks[[#This Row],[_ConstraintCode]]=3,Tasks[[#This Row],[_ConstraintCode]]=4,Tasks[[#This Row],[_ConstraintCode]]=6),Tasks[[#This Row],[_ConstraintStart]],0)</f>
        <v>0</v>
      </c>
      <c r="CI13" s="89" t="n">
        <f aca="false">IF(OR(Tasks[[#This Row],[_ConstraintCode]]=2,Tasks[[#This Row],[_ConstraintCode]]=3,Tasks[[#This Row],[_ConstraintCode]]=5,Tasks[[#This Row],[_ConstraintCode]]=7),Tasks[[#This Row],[_ConstraintStart]],2958465)</f>
        <v>2958465</v>
      </c>
      <c r="CJ13"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K13" s="89" t="n">
        <f aca="false">IF(NOT(Tasks[[#This Row],[_IsLeaf]]=1),"",IF(N(Tasks[[#This Row],[_Days]])&lt;=0,Tasks[[#This Row],[_LeafCalcStart]],WORKDAY.INTL(Tasks[[#This Row],[_LeafCalcStart]],Tasks[[#This Row],[_Days]]-1,WorkWeek,Holidays)))</f>
        <v>46296</v>
      </c>
      <c r="CL13"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M13"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3" s="42" t="str">
        <f aca="false">IF(Tasks[[#This Row],[_Predecessors]]="","",TRIM(MID(SUBSTITUTE(SUBSTITUTE(SUBSTITUTE(UPPER(Tasks[[#This Row],[_Predecessors]]),";",",")," ",""),",",REPT(" ",99)),1,99)))</f>
        <v>8</v>
      </c>
      <c r="CO13" s="42" t="n">
        <f aca="false">IF(Tasks[[#This Row],[_Pred1Text]]="","",IFERROR(VALUE(LEFT(Tasks[[#This Row],[_Pred1Text]],MIN(FIND("F",Tasks[[#This Row],[_Pred1Text]]&amp;"F"),FIND("S",Tasks[[#This Row],[_Pred1Text]]&amp;"S"),FIND("+",Tasks[[#This Row],[_Pred1Text]]&amp;"+"),FIND("-",Tasks[[#This Row],[_Pred1Text]]&amp;"-"))-1)),""))</f>
        <v>8</v>
      </c>
      <c r="CP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3"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3" s="42" t="str">
        <f aca="false">IF(Tasks[[#This Row],[_Pred1Text]]="","",TRIM(MID(SUBSTITUTE(SUBSTITUTE(SUBSTITUTE(UPPER(Tasks[[#This Row],[_Predecessors]]),";",",")," ",""),",",REPT(" ",99)),100,99)))</f>
        <v/>
      </c>
      <c r="CS13" s="42" t="str">
        <f aca="false">IF(Tasks[[#This Row],[_Pred2Text]]="","",IFERROR(VALUE(LEFT(Tasks[[#This Row],[_Pred2Text]],MIN(FIND("F",Tasks[[#This Row],[_Pred2Text]]&amp;"F"),FIND("S",Tasks[[#This Row],[_Pred2Text]]&amp;"S"),FIND("+",Tasks[[#This Row],[_Pred2Text]]&amp;"+"),FIND("-",Tasks[[#This Row],[_Pred2Text]]&amp;"-"))-1)),""))</f>
        <v/>
      </c>
      <c r="CT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 s="42" t="str">
        <f aca="false">IF(Tasks[[#This Row],[_Pred2Text]]="","",TRIM(MID(SUBSTITUTE(SUBSTITUTE(SUBSTITUTE(UPPER(Tasks[[#This Row],[_Predecessors]]),";",",")," ",""),",",REPT(" ",99)),199,99)))</f>
        <v/>
      </c>
      <c r="CW13" s="42" t="str">
        <f aca="false">IF(Tasks[[#This Row],[_Pred3Text]]="","",IFERROR(VALUE(LEFT(Tasks[[#This Row],[_Pred3Text]],MIN(FIND("F",Tasks[[#This Row],[_Pred3Text]]&amp;"F"),FIND("S",Tasks[[#This Row],[_Pred3Text]]&amp;"S"),FIND("+",Tasks[[#This Row],[_Pred3Text]]&amp;"+"),FIND("-",Tasks[[#This Row],[_Pred3Text]]&amp;"-"))-1)),""))</f>
        <v/>
      </c>
      <c r="CX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 s="42" t="str">
        <f aca="false">IF(Tasks[[#This Row],[_Pred3Text]]="","",TRIM(MID(SUBSTITUTE(SUBSTITUTE(SUBSTITUTE(UPPER(Tasks[[#This Row],[_Predecessors]]),";",",")," ",""),",",REPT(" ",99)),298,99)))</f>
        <v/>
      </c>
      <c r="DA13" s="42" t="str">
        <f aca="false">IF(Tasks[[#This Row],[_Pred4Text]]="","",IFERROR(VALUE(LEFT(Tasks[[#This Row],[_Pred4Text]],MIN(FIND("F",Tasks[[#This Row],[_Pred4Text]]&amp;"F"),FIND("S",Tasks[[#This Row],[_Pred4Text]]&amp;"S"),FIND("+",Tasks[[#This Row],[_Pred4Text]]&amp;"+"),FIND("-",Tasks[[#This Row],[_Pred4Text]]&amp;"-"))-1)),""))</f>
        <v/>
      </c>
      <c r="DB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 s="42" t="str">
        <f aca="false">IF(OR(Tasks[[#This Row],[Task Name]]="",Tasks[[#This Row],[_Resources]]=""),"",TRIM(MID(SUBSTITUTE(Tasks[[#This Row],[_Resources]],",",REPT(" ",99)),1,99)))</f>
        <v/>
      </c>
      <c r="DE13" s="42" t="str">
        <f aca="false">IF(Tasks[[#This Row],[_Res1Text]]="","",TRIM(MID(SUBSTITUTE(Tasks[[#This Row],[_Resources]],",",REPT(" ",99)),100,99)))</f>
        <v/>
      </c>
      <c r="DF13" s="42" t="str">
        <f aca="false">IF(Tasks[[#This Row],[_Res2Text]]="","",TRIM(MID(SUBSTITUTE(Tasks[[#This Row],[_Resources]],",",REPT(" ",99)),199,99)))</f>
        <v/>
      </c>
      <c r="DG13" s="42" t="str">
        <f aca="false">IF(Tasks[[#This Row],[_Res3Text]]="","",TRIM(MID(SUBSTITUTE(Tasks[[#This Row],[_Resources]],",",REPT(" ",99)),298,99)))</f>
        <v/>
      </c>
      <c r="DH13" s="42" t="n">
        <f aca="false">IF(Tasks[[#This Row],[_Res1Text]]="",0,IFERROR(MATCH(TRIM(LEFT(Tasks[[#This Row],[_Res1Text]],FIND("[",Tasks[[#This Row],[_Res1Text]]&amp;"[")-1)),res_Name,0),IFERROR(MATCH(TRIM(LEFT(Tasks[[#This Row],[_Res1Text]],FIND("[",Tasks[[#This Row],[_Res1Text]]&amp;"[")-1)),res_Initials,0),0)))</f>
        <v>0</v>
      </c>
      <c r="DI13" s="42" t="n">
        <f aca="false">IF(Tasks[[#This Row],[_Res2Text]]="",0,IFERROR(MATCH(TRIM(LEFT(Tasks[[#This Row],[_Res2Text]],FIND("[",Tasks[[#This Row],[_Res2Text]]&amp;"[")-1)),res_Name,0),IFERROR(MATCH(TRIM(LEFT(Tasks[[#This Row],[_Res2Text]],FIND("[",Tasks[[#This Row],[_Res2Text]]&amp;"[")-1)),res_Initials,0),0)))</f>
        <v>0</v>
      </c>
      <c r="DJ13" s="42" t="n">
        <f aca="false">IF(Tasks[[#This Row],[_Res3Text]]="",0,IFERROR(MATCH(TRIM(LEFT(Tasks[[#This Row],[_Res3Text]],FIND("[",Tasks[[#This Row],[_Res3Text]]&amp;"[")-1)),res_Name,0),IFERROR(MATCH(TRIM(LEFT(Tasks[[#This Row],[_Res3Text]],FIND("[",Tasks[[#This Row],[_Res3Text]]&amp;"[")-1)),res_Initials,0),0)))</f>
        <v>0</v>
      </c>
      <c r="DK13" s="42" t="n">
        <f aca="false">IF(Tasks[[#This Row],[_Res4Text]]="",0,IFERROR(MATCH(TRIM(LEFT(Tasks[[#This Row],[_Res4Text]],FIND("[",Tasks[[#This Row],[_Res4Text]]&amp;"[")-1)),res_Name,0),IFERROR(MATCH(TRIM(LEFT(Tasks[[#This Row],[_Res4Text]],FIND("[",Tasks[[#This Row],[_Res4Text]]&amp;"[")-1)),res_Initials,0),0)))</f>
        <v>0</v>
      </c>
      <c r="DL13" s="42" t="str">
        <f aca="false">IF(Tasks[[#This Row],[_Res1Text]]="","",IF(Tasks[[#This Row],[_Res1Row]]&gt;0,INDEX(res_Name,Tasks[[#This Row],[_Res1Row]]),TRIM(LEFT(Tasks[[#This Row],[_Res1Text]],FIND("[",Tasks[[#This Row],[_Res1Text]]&amp;"[")-1))))</f>
        <v/>
      </c>
      <c r="DM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 s="42" t="n">
        <f aca="false">IF(NOT(Tasks[[#This Row],[_IsLeaf]]=1),0,(Tasks[[#This Row],[_Resource1]]&lt;&gt;"")+(Tasks[[#This Row],[_Res2]]&lt;&gt;"")+(Tasks[[#This Row],[_Res3]]&lt;&gt;"")+(Tasks[[#This Row],[_Res4]]&lt;&gt;""))</f>
        <v>0</v>
      </c>
      <c r="DO13" s="42" t="str">
        <f aca="false">IF(Tasks[[#This Row],[_Res2Text]]="","",IF(Tasks[[#This Row],[_Res2Row]]&gt;0,INDEX(res_Name,Tasks[[#This Row],[_Res2Row]]),TRIM(LEFT(Tasks[[#This Row],[_Res2Text]],FIND("[",Tasks[[#This Row],[_Res2Text]]&amp;"[")-1))))</f>
        <v/>
      </c>
      <c r="DP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 s="42" t="n">
        <f aca="false">IF(OR(NOT(Tasks[[#This Row],[_IsLeaf]]=1),Tasks[[#This Row],[_Res2Row]]=0),0,N(Tasks[[#This Row],[_Days]])*HoursPerDay*IF(Tasks[[#This Row],[_Res2Units]]="",DefaultUnits,Tasks[[#This Row],[_Res2Units]]))</f>
        <v>0</v>
      </c>
      <c r="DR13" s="42" t="n">
        <f aca="false">IF(AND(AND(Tasks[[#This Row],[_IsLeaf]]=1,Tasks[[#This Row],[_LeafTotalWork]]&gt;0),Tasks[[#This Row],[_Res2Work]]&gt;0),Tasks[[#This Row],[_Res2Work]]/(Tasks[[#This Row],[_FinishWorkday]]-Tasks[[#This Row],[_StartWorkday]]+1),0)</f>
        <v>0</v>
      </c>
      <c r="DS13" s="42" t="n">
        <f aca="false">Tasks[[#This Row],[_Res2WorkPerWD]]*MAX(0,Tasks[[#This Row],[_StartWorkday]]-1)</f>
        <v>0</v>
      </c>
      <c r="DT13" s="42" t="n">
        <f aca="false">Tasks[[#This Row],[_Res2Work]]*Tasks[[#This Row],[_LeafProgress]]</f>
        <v>0</v>
      </c>
      <c r="DU13" s="42" t="str">
        <f aca="false">IF(Tasks[[#This Row],[_Res3Text]]="","",IF(Tasks[[#This Row],[_Res3Row]]&gt;0,INDEX(res_Name,Tasks[[#This Row],[_Res3Row]]),TRIM(LEFT(Tasks[[#This Row],[_Res3Text]],FIND("[",Tasks[[#This Row],[_Res3Text]]&amp;"[")-1))))</f>
        <v/>
      </c>
      <c r="DV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 s="42" t="n">
        <f aca="false">IF(OR(NOT(Tasks[[#This Row],[_IsLeaf]]=1),Tasks[[#This Row],[_Res3Row]]=0),0,N(Tasks[[#This Row],[_Days]])*HoursPerDay*IF(Tasks[[#This Row],[_Res3Units]]="",DefaultUnits,Tasks[[#This Row],[_Res3Units]]))</f>
        <v>0</v>
      </c>
      <c r="DX13" s="42" t="n">
        <f aca="false">IF(AND(AND(Tasks[[#This Row],[_IsLeaf]]=1,Tasks[[#This Row],[_LeafTotalWork]]&gt;0),Tasks[[#This Row],[_Res3Work]]&gt;0),Tasks[[#This Row],[_Res3Work]]/(Tasks[[#This Row],[_FinishWorkday]]-Tasks[[#This Row],[_StartWorkday]]+1),0)</f>
        <v>0</v>
      </c>
      <c r="DY13" s="42" t="n">
        <f aca="false">Tasks[[#This Row],[_Res3WorkPerWD]]*MAX(0,Tasks[[#This Row],[_StartWorkday]]-1)</f>
        <v>0</v>
      </c>
      <c r="DZ13" s="42" t="n">
        <f aca="false">Tasks[[#This Row],[_Res3Work]]*Tasks[[#This Row],[_LeafProgress]]</f>
        <v>0</v>
      </c>
      <c r="EA13" s="42" t="str">
        <f aca="false">IF(Tasks[[#This Row],[_Res4Text]]="","",IF(Tasks[[#This Row],[_Res4Row]]&gt;0,INDEX(res_Name,Tasks[[#This Row],[_Res4Row]]),TRIM(LEFT(Tasks[[#This Row],[_Res4Text]],FIND("[",Tasks[[#This Row],[_Res4Text]]&amp;"[")-1))))</f>
        <v/>
      </c>
      <c r="EB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 s="42" t="n">
        <f aca="false">IF(OR(NOT(Tasks[[#This Row],[_IsLeaf]]=1),Tasks[[#This Row],[_Res4Row]]=0),0,N(Tasks[[#This Row],[_Days]])*HoursPerDay*IF(Tasks[[#This Row],[_Res4Units]]="",DefaultUnits,Tasks[[#This Row],[_Res4Units]]))</f>
        <v>0</v>
      </c>
      <c r="ED13" s="42" t="n">
        <f aca="false">IF(AND(AND(Tasks[[#This Row],[_IsLeaf]]=1,Tasks[[#This Row],[_LeafTotalWork]]&gt;0),Tasks[[#This Row],[_Res4Work]]&gt;0),Tasks[[#This Row],[_Res4Work]]/(Tasks[[#This Row],[_FinishWorkday]]-Tasks[[#This Row],[_StartWorkday]]+1),0)</f>
        <v>0</v>
      </c>
      <c r="EE13" s="42" t="n">
        <f aca="false">Tasks[[#This Row],[_Res4WorkPerWD]]*MAX(0,Tasks[[#This Row],[_StartWorkday]]-1)</f>
        <v>0</v>
      </c>
      <c r="EF13" s="42" t="n">
        <f aca="false">Tasks[[#This Row],[_Res4Work]]*Tasks[[#This Row],[_LeafProgress]]</f>
        <v>0</v>
      </c>
      <c r="EG13" s="92" t="n">
        <f aca="false">IF(ISNUMBER(Tasks[[#This Row],[% Complete]]),Tasks[[#This Row],[% Complete]],IF(Tasks[[#This Row],[Stage]]="",0,IFERROR(INDEX(stg_Pct,MATCH(Tasks[[#This Row],[Stage]],stg_Name,0)),0)))</f>
        <v>1</v>
      </c>
      <c r="EH13" s="42" t="n">
        <f aca="false">IF(NOT(Tasks[[#This Row],[_IsLeaf]]=1),0,IF(N(Tasks[[#This Row],[Actual Finish]])&gt;0,1,MIN(1,Tasks[[#This Row],[_Pct]])))</f>
        <v>1</v>
      </c>
      <c r="EI13" s="42" t="n">
        <f aca="false">IF(OR(NOT(Tasks[[#This Row],[_IsLeaf]]=1),Tasks[[#This Row],[_Res1Row]]=0),0,N(Tasks[[#This Row],[_Days]])*HoursPerDay*IF(Tasks[[#This Row],[_Units1]]="",DefaultUnits,Tasks[[#This Row],[_Units1]]))</f>
        <v>0</v>
      </c>
      <c r="EJ13" s="42" t="n">
        <f aca="false">Tasks[[#This Row],[_LeafWork]]+Tasks[[#This Row],[_Res2Work]]+Tasks[[#This Row],[_Res3Work]]+Tasks[[#This Row],[_Res4Work]]</f>
        <v>0</v>
      </c>
      <c r="EK13"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 s="42" t="n">
        <f aca="false">IF(NOT(Tasks[[#This Row],[_IsLeaf]]=1),0,MAX(_xlfn.MAXIFS(Tasks[_Row],Tasks[_Pred1UID],Tasks[[#This Row],[UID]]),_xlfn.MAXIFS(Tasks[_Row],Tasks[_Pred2UID],Tasks[[#This Row],[UID]]),_xlfn.MAXIFS(Tasks[_Row],Tasks[_Pred3UID],Tasks[[#This Row],[UID]]),_xlfn.MAXIFS(Tasks[_Row],Tasks[_Pred4UID],Tasks[[#This Row],[UID]])))</f>
        <v>10</v>
      </c>
      <c r="ET13"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3"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3" s="89" t="n">
        <f aca="false">IF(NOT(Tasks[[#This Row],[_IsLeaf]]=1),"",IF(N(Tasks[[#This Row],[_Days]])&lt;=0,Tasks[[#This Row],[_LeafLateFinish]],WORKDAY.INTL(Tasks[[#This Row],[_LeafLateFinish]],-(Tasks[[#This Row],[_Days]]-1),WorkWeek,Holidays)))</f>
        <v>46302</v>
      </c>
      <c r="EW13"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3" s="88" t="b">
        <f aca="false">AND(Tasks[[#This Row],[_IsLeaf]]=1,Tasks[[#This Row],[_LeafProgress]]&lt;1,N(Tasks[[#This Row],[_LeafTotalSlack]])&lt;=CriticalSlackDays)</f>
        <v>0</v>
      </c>
      <c r="EY13" s="42" t="n">
        <f aca="false">IF(AND(Tasks[[#This Row],[_IsLeaf]]=1,Tasks[[#This Row],[_ConstraintCode]]=1,Tasks[[#This Row],[Mode]]&lt;&gt;"Manual",N(Tasks[[#This Row],[Actual Start]])=0),MAX(0,N(Tasks[[#This Row],[Free Slack]])),0)</f>
        <v>0</v>
      </c>
      <c r="EZ13" s="89" t="n">
        <f aca="false">IF(NOT(Tasks[[#This Row],[_IsLeaf]]=1),"",IF(Tasks[[#This Row],[_AlapShift]]=0,Tasks[[#This Row],[_LeafCalcStart]],WORKDAY.INTL(Tasks[[#This Row],[_LeafCalcStart]],Tasks[[#This Row],[_AlapShift]],WorkWeek,Holidays)))</f>
        <v>46296</v>
      </c>
      <c r="FA13" s="89" t="n">
        <f aca="false">IF(NOT(Tasks[[#This Row],[_IsLeaf]]=1),"",IF(Tasks[[#This Row],[_AlapShift]]=0,Tasks[[#This Row],[_LeafCalcFinish]],WORKDAY.INTL(Tasks[[#This Row],[_LeafCalcFinish]],Tasks[[#This Row],[_AlapShift]],WorkWeek,Holidays)))</f>
        <v>46296</v>
      </c>
      <c r="FB13" s="89" t="n">
        <f aca="false">IF(NOT(Tasks[[#This Row],[_IsLeaf]]=1),"",IF(Tasks[[#This Row],[_AlapShift]]=0,Tasks[[#This Row],[_LeafFcstStart]],WORKDAY.INTL(Tasks[[#This Row],[_LeafFcstStart]],Tasks[[#This Row],[_AlapShift]],WorkWeek,Holidays)))</f>
        <v>46301</v>
      </c>
      <c r="FC13" s="89" t="n">
        <f aca="false">IF(NOT(Tasks[[#This Row],[_IsLeaf]]=1),"",IF(Tasks[[#This Row],[_AlapShift]]=0,Tasks[[#This Row],[_LeafFcstFinish]],WORKDAY.INTL(Tasks[[#This Row],[_LeafFcstFinish]],Tasks[[#This Row],[_AlapShift]],WorkWeek,Holidays)))</f>
        <v>46301</v>
      </c>
      <c r="FD13" s="89" t="n">
        <f aca="false">IF(Tasks[[#This Row],[Task Name]]="","",IF(Tasks[[#This Row],[_IsSummary]],MIN(INDEX(Tasks[_ShownCalcStart],Tasks[[#This Row],[_Row]]+1):INDEX(Tasks[_ShownCalcStart],Tasks[[#This Row],[_Row]]+Tasks[[#This Row],[_Descendants]])),Tasks[[#This Row],[_ShownCalcStart]]))</f>
        <v>46296</v>
      </c>
      <c r="FE13" s="89" t="n">
        <f aca="false">IF(Tasks[[#This Row],[Task Name]]="","",IF(Tasks[[#This Row],[_IsSummary]],MAX(INDEX(Tasks[_ShownCalcFinish],Tasks[[#This Row],[_Row]]+1):INDEX(Tasks[_ShownCalcFinish],Tasks[[#This Row],[_Row]]+Tasks[[#This Row],[_Descendants]])),Tasks[[#This Row],[_ShownCalcFinish]]))</f>
        <v>46296</v>
      </c>
      <c r="FF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K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O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 s="42" t="n">
        <f aca="false">IF(AND(Tasks[[#This Row],[_IsLeaf]]=1,Tasks[[#This Row],[_LeafTotalWork]]&gt;0),NETWORKDAYS.INTL(ProjectStart,Tasks[[#This Row],[_ShownFcstStart]],WorkWeek,Holidays),0)</f>
        <v>0</v>
      </c>
      <c r="FS13" s="42" t="n">
        <f aca="false">IF(AND(Tasks[[#This Row],[_IsLeaf]]=1,Tasks[[#This Row],[_LeafTotalWork]]&gt;0),MAX(Tasks[[#This Row],[_StartWorkday]],NETWORKDAYS.INTL(ProjectStart,Tasks[[#This Row],[_ShownFcstFinish]],WorkWeek,Holidays)),0)</f>
        <v>0</v>
      </c>
      <c r="FT13" s="42" t="n">
        <f aca="false">IF(AND(Tasks[[#This Row],[_IsLeaf]]=1,Tasks[[#This Row],[_LeafTotalWork]]&gt;0),Tasks[[#This Row],[_LeafWork]]/(Tasks[[#This Row],[_FinishWorkday]]-Tasks[[#This Row],[_StartWorkday]]+1),0)</f>
        <v>0</v>
      </c>
      <c r="FU13" s="42" t="n">
        <f aca="false">Tasks[[#This Row],[_WorkPerWorkday]]*(Tasks[[#This Row],[_StartWorkday]]-1)</f>
        <v>-0</v>
      </c>
      <c r="FV13" s="42" t="n">
        <f aca="false">IF(Tasks[[#This Row],[_IsLeaf]]=1,MAX(N(Tasks[[#This Row],[_Days]]),0.1),0)</f>
        <v>0.1</v>
      </c>
      <c r="FW13" s="42" t="n">
        <f aca="false">Tasks[[#This Row],[_WeightDur]]*Tasks[[#This Row],[_LeafProgress]]</f>
        <v>0.1</v>
      </c>
      <c r="FX13" s="42" t="n">
        <f aca="false">Tasks[[#This Row],[_WeightDur]]*Tasks[[#This Row],[_PlannedPct]]</f>
        <v>0.1</v>
      </c>
      <c r="FY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FZ13" s="42" t="str">
        <f aca="false">IF(AND(Tasks[[#This Row],[_IsLeaf]]=1,N(Tasks[[#This Row],[_Days]])=0,Tasks[[#This Row],[_LeafProgress]]&lt;1),Tasks[[#This Row],[_ShownFcstFinish]]+Tasks[[#This Row],[_Row]]/100000,"")</f>
        <v/>
      </c>
      <c r="GA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3" s="42" t="str">
        <f aca="false">IF(Tasks[[#This Row],[Task Name]]="","",LEFT(Tasks[[#This Row],[WBS]],FIND(".",Tasks[[#This Row],[WBS]]&amp;".")-1))</f>
        <v>2</v>
      </c>
      <c r="GC13" s="42" t="str">
        <f aca="false">IF(AND(Tasks[[#This Row],[Task Name]]&lt;&gt;"",Tasks[[#This Row],[_Level]]=1),Tasks[[#This Row],[_Row]],"")</f>
        <v/>
      </c>
      <c r="GD13" s="93" t="n">
        <f aca="false">IF(AND(Tasks[[#This Row],[_IsLeaf]]=1,N(Tasks[[#This Row],[_Days]])=0),Tasks[[#This Row],[Planned Finish]]+Tasks[[#This Row],[_Row]]/100000,"")</f>
        <v>46296.00008</v>
      </c>
      <c r="GE13" s="42" t="str">
        <f aca="false">IF(AND(Tasks[[#This Row],[_IsLeaf]]=1,Tasks[[#This Row],[_LeafProgress]]&lt;1,OR(N(Tasks[[#This Row],[Finish Var]])&gt;0,Tasks[[#This Row],[Status]]="Late Start")),MAX(0,Tasks[[#This Row],[Finish Var]])+1-Tasks[[#This Row],[_Row]]/1000000,"")</f>
        <v/>
      </c>
      <c r="GF13" s="42" t="str">
        <f aca="false">IF(AND(Tasks[[#This Row],[_IsLeaf]]=1,N(Tasks[[#This Row],[Actual Start]])=0,Tasks[[#This Row],[_ShownFcstStart]]&gt;=StatusDate,Tasks[[#This Row],[_ShownFcstStart]]&lt;=LookaheadEnd),Tasks[[#This Row],[_ShownFcstStart]]+Tasks[[#This Row],[_Row]]/100000,"")</f>
        <v/>
      </c>
      <c r="GG13" s="42" t="str">
        <f aca="false">IF(AND(Tasks[[#This Row],[_IsLeaf]]=1,Tasks[[#This Row],[_LeafProgress]]&lt;1,Tasks[[#This Row],[_ShownFcstFinish]]&gt;=StatusDate,Tasks[[#This Row],[_ShownFcstFinish]]&lt;=LookaheadEnd),Tasks[[#This Row],[_ShownFcstFinish]]+Tasks[[#This Row],[_Row]]/100000,"")</f>
        <v/>
      </c>
      <c r="GH13" s="42" t="str">
        <f aca="false">IF(Tasks[[#This Row],[_LeafCritical]],Tasks[[#This Row],[_ShownFcstStart]]+Tasks[[#This Row],[_Row]]/100000,"")</f>
        <v/>
      </c>
      <c r="GI13" s="42" t="n">
        <f aca="false">Tasks[[#This Row],[_LeafWork]]*Tasks[[#This Row],[_LeafProgress]]</f>
        <v>0</v>
      </c>
      <c r="GJ13" s="89" t="n">
        <f aca="false">IF(AND(Tasks[[#This Row],[_IsLeaf]]=1,Tasks[[#This Row],[_LeafProgress]]&gt;=1),IF(N(Tasks[[#This Row],[Actual Finish]])&gt;0,Tasks[[#This Row],[Actual Finish]],Tasks[[#This Row],[_ShownFcstFinish]]),"")</f>
        <v>46301</v>
      </c>
      <c r="GK13" s="42" t="n">
        <f aca="false">IF(Tasks[[#This Row],[_IsLeaf]]=1,N(Tasks[[#This Row],[Story Points]]),0)</f>
        <v>0</v>
      </c>
      <c r="GL13" s="42" t="str">
        <f aca="false">""</f>
        <v/>
      </c>
      <c r="GM13" s="88" t="b">
        <f aca="false">IF(Tasks[[#This Row],[Task Name]]="",FALSE(),AND(Tasks[[#This Row],[_IsLeaf]]=1,N(Tasks[[#This Row],[_Days]])=0))</f>
        <v>1</v>
      </c>
      <c r="GN13" s="89" t="n">
        <f aca="false">IF(Tasks[[#This Row],[Task Name]]="",0,IF(AND(Tasks[[#This Row],[_IsLeaf]]=1,NOT(Tasks[[#This Row],[_IsMilestone]]),N(Tasks[[#This Row],[Progress]])&gt;0),Tasks[[#This Row],[Start]],0))</f>
        <v>0</v>
      </c>
      <c r="GO13" s="89" t="n">
        <f aca="false">IF(Tasks[[#This Row],[_DoneFrom]]=0,0,IF(Tasks[[#This Row],[Progress]]&gt;=1,Tasks[[#This Row],[Finish]],MAX(Tasks[[#This Row],[_DoneFrom]],Tasks[[#This Row],[Start]]+ROUND((Tasks[[#This Row],[Finish]]-Tasks[[#This Row],[Start]]+1)*Tasks[[#This Row],[Progress]],0)-1)))</f>
        <v>0</v>
      </c>
      <c r="GP13" s="89" t="n">
        <f aca="false">IF(Tasks[[#This Row],[Task Name]]="",0,IF(OR(NOT(Tasks[[#This Row],[_IsLeaf]]=1),Tasks[[#This Row],[_IsMilestone]],N(Tasks[[#This Row],[Progress]])&gt;=1),0,IF(Tasks[[#This Row],[_DoneTo]]&gt;0,Tasks[[#This Row],[_DoneTo]]+1,Tasks[[#This Row],[Start]])))</f>
        <v>0</v>
      </c>
      <c r="GQ13" s="89" t="n">
        <f aca="false">IF(Tasks[[#This Row],[_RemFrom]]=0,0,Tasks[[#This Row],[Finish]])</f>
        <v>0</v>
      </c>
      <c r="GR13" s="88" t="b">
        <f aca="false">IF(Tasks[[#This Row],[Task Name]]="",FALSE(),OR(NOT(BaselineSet),N(Tasks[[#This Row],[Baseline Start]])&gt;0))</f>
        <v>1</v>
      </c>
      <c r="GS13"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GU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 s="90" t="n">
        <f aca="false">IF(Tasks[[#This Row],[_IsLeaf]]=1,Tasks[[#This Row],[_Row]],"")</f>
        <v>8</v>
      </c>
      <c r="GW13" s="90" t="str">
        <f aca="false">IFERROR(INDEX(Tasks[UID],SMALL(Tasks[_PickKey],Tasks[[#This Row],[_Row]]))&amp;" "&amp;INDEX(Tasks[Task Name],SMALL(Tasks[_PickKey],Tasks[[#This Row],[_Row]])),"")</f>
        <v>24 Go-live readiness review</v>
      </c>
      <c r="GX13" s="42" t="n">
        <f aca="false">IF(Tasks[[#This Row],[Task Name]]="","",IF(Tasks[[#This Row],[_IsSummary]],NETWORKDAYS.INTL(Tasks[[#This Row],[Start]],Tasks[[#This Row],[Finish]],WorkWeek,Holidays),N(Tasks[[#This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622</v>
      </c>
      <c r="E14" s="22"/>
      <c r="F14" s="23"/>
      <c r="G14" s="22"/>
      <c r="H14" s="22"/>
      <c r="I14" s="23"/>
      <c r="J14" s="22"/>
      <c r="K14" s="22"/>
      <c r="L14" s="23"/>
      <c r="M14" s="22"/>
      <c r="N14" s="22"/>
      <c r="O14" s="23"/>
      <c r="P14" s="22"/>
      <c r="Q14" s="22"/>
      <c r="R14" s="23"/>
      <c r="S14" s="23"/>
      <c r="T14" s="83"/>
      <c r="U14" s="23"/>
      <c r="V14" s="83"/>
      <c r="W14" s="23"/>
      <c r="X14" s="83"/>
      <c r="Y14" s="23"/>
      <c r="Z14" s="83"/>
      <c r="AA14" s="23"/>
      <c r="AB14" s="23"/>
      <c r="AC14" s="7"/>
      <c r="AD14" s="7"/>
      <c r="AE14" s="62" t="n">
        <f aca="false">IF(Tasks[[#This Row],[Task Name]]="","",IF(Tasks[[#This Row],[_IsSummary]],MIN(INDEX(Tasks[_ShownFcstStart],Tasks[[#This Row],[_Row]]+1):INDEX(Tasks[_ShownFcstStart],Tasks[[#This Row],[_Row]]+Tasks[[#This Row],[_Descendants]])),Tasks[[#This Row],[_ShownFcstStart]]))</f>
        <v>46302</v>
      </c>
      <c r="AF14" s="62"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 s="7"/>
      <c r="AK14" s="22" t="s">
        <v>235</v>
      </c>
      <c r="AL14" s="23"/>
      <c r="AM14" s="7"/>
      <c r="AN14" s="46"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2" t="n">
        <f aca="false">IF(Tasks[[#This Row],[Task Name]]="","",IF(N(Tasks[[#This Row],[Baseline Start]])&gt;0,Tasks[[#This Row],[Baseline Start]],Tasks[[#This Row],[_CalcStart]]))</f>
        <v>46297</v>
      </c>
      <c r="AR14" s="62" t="n">
        <f aca="false">IF(Tasks[[#This Row],[Task Name]]="","",IF(N(Tasks[[#This Row],[Baseline Finish]])&gt;0,Tasks[[#This Row],[Baseline Finish]],Tasks[[#This Row],[_CalcFinish]]))</f>
        <v>46318</v>
      </c>
      <c r="AS14" s="46" t="n">
        <f aca="false">IF(Tasks[[#This Row],[Task Name]]="","",IF(Tasks[[#This Row],[Start]]&gt;=Tasks[[#This Row],[Planned Start]],NETWORKDAYS.INTL(Tasks[[#This Row],[Planned Start]],Tasks[[#This Row],[Start]],WorkWeek,Holidays)-1,1-NETWORKDAYS.INTL(Tasks[[#This Row],[Start]],Tasks[[#This Row],[Planned Start]],WorkWeek,Holidays)))</f>
        <v>3</v>
      </c>
      <c r="AT14" s="62" t="n">
        <f aca="false">IF(Tasks[[#This Row],[Task Name]]="","",IF(Tasks[[#This Row],[_IsSummary]],MIN(INDEX(Tasks[_LeafLateStart],Tasks[[#This Row],[_Row]]+1):INDEX(Tasks[_LeafLateStart],Tasks[[#This Row],[_Row]]+Tasks[[#This Row],[_Descendants]])),Tasks[[#This Row],[_LeafLateStart]]))</f>
        <v>46303</v>
      </c>
      <c r="AU14" s="62" t="n">
        <f aca="false">IF(Tasks[[#This Row],[Task Name]]="","",IF(Tasks[[#This Row],[_IsSummary]],MAX(INDEX(Tasks[_LeafLateFinish],Tasks[[#This Row],[_Row]]+1):INDEX(Tasks[_LeafLateFinish],Tasks[[#This Row],[_Row]]+Tasks[[#This Row],[_Descendants]])),Tasks[[#This Row],[_LeafLateFinish]]))</f>
        <v>46324</v>
      </c>
      <c r="AV14" s="46"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4"/>
      <c r="BA14"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5" t="n">
        <f aca="false">IF(Tasks[[#This Row],[Task Name]]="","",IF(Tasks[[#This Row],[_IsSummary]],SUM(INDEX(Tasks[_LeafTotalWork],Tasks[[#This Row],[_Row]]+1):INDEX(Tasks[_LeafTotalWork],Tasks[[#This Row],[_Row]]+Tasks[[#This Row],[_Descendants]])),Tasks[[#This Row],[_LeafTotalWork]]))</f>
        <v>188</v>
      </c>
      <c r="BF14" s="23" t="s">
        <v>623</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6"/>
      <c r="BJ14" s="22"/>
      <c r="BK14" s="46" t="n">
        <f aca="false">IF(OR(Tasks[[#This Row],[Task Name]]="",Tasks[[#This Row],[Baseline Duration]]=""),"",Tasks[[#This Row],[_SpanDays]]-N(Tasks[[#This Row],[Baseline Duration]]))</f>
        <v>1</v>
      </c>
      <c r="BL14" s="85" t="n">
        <f aca="false">IF(OR(Tasks[[#This Row],[Task Name]]="",Tasks[[#This Row],[Baseline Work]]=""),"",Tasks[[#This Row],[Work]]-N(Tasks[[#This Row],[Baseline Work]]))</f>
        <v>60</v>
      </c>
      <c r="BM14" s="62" t="n">
        <f aca="false">IF(Tasks[[#This Row],[Task Name]]="","",IF(OR(TakeBaseline="Yes",N(Tasks[[#This Row],[Baseline Start]])=0),Tasks[[#This Row],[Start]],Tasks[[#This Row],[Baseline Start]]))</f>
        <v>46297</v>
      </c>
      <c r="BN14" s="62"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5" t="n">
        <f aca="false">IF(Tasks[[#This Row],[Task Name]]="","",IF(OR(TakeBaseline="Yes",N(Tasks[[#This Row],[Baseline Work]])=0),Tasks[[#This Row],[Work]],Tasks[[#This Row],[Baseline Work]]))</f>
        <v>128</v>
      </c>
      <c r="BQ14" s="7" t="n">
        <v>46297</v>
      </c>
      <c r="BR14" s="7" t="n">
        <v>46318</v>
      </c>
      <c r="BS14" s="22" t="n">
        <v>16</v>
      </c>
      <c r="BT14" s="87" t="n">
        <v>128</v>
      </c>
      <c r="BU14" s="42" t="n">
        <f aca="false">IF(Tasks[[#This Row],[Task Name]]="","",MAX(1,N(Tasks[[#This Row],[Level]])))</f>
        <v>1</v>
      </c>
      <c r="BV14" s="42" t="n">
        <f aca="false">ROW()-ROW(Tasks[[#Headers],[ID]])</f>
        <v>9</v>
      </c>
      <c r="BW14" s="42" t="n">
        <f aca="false">IF(OR(Tasks[[#This Row],[Task Name]]="",Tasks[[#This Row],[_Level]]&lt;=1),0,IFERROR(LOOKUP(2,1/(Tasks[[#Headers],[_Level]]:Tasks[[#This Row],[_Level]]=Tasks[[#This Row],[_Level]]-1),ROW(Tasks[[#Headers],[_Level]]:Tasks[[#This Row],[_Level]])),0))</f>
        <v>0</v>
      </c>
      <c r="BX14" s="42" t="n">
        <f aca="false">IFERROR(N(INDEX(Tasks[_Level],Tasks[[#This Row],[_Row]]+1)),0)</f>
        <v>2</v>
      </c>
      <c r="BY14" s="88" t="b">
        <f aca="false">AND(Tasks[[#This Row],[Task Name]]&lt;&gt;"",Tasks[[#This Row],[_NextLevel]]&gt;Tasks[[#This Row],[_Level]])</f>
        <v>1</v>
      </c>
      <c r="BZ14" s="42" t="n">
        <f aca="false">IF(Tasks[[#This Row],[_IsSummary]],COUNTIF(Tasks[WBS],Tasks[[#This Row],[WBS]]&amp;".*"),0)</f>
        <v>3</v>
      </c>
      <c r="CA14" s="42" t="n">
        <f aca="false">IF(AND(Tasks[[#This Row],[Task Name]]&lt;&gt;"",NOT(Tasks[[#This Row],[_IsSummary]])),1,0)</f>
        <v>0</v>
      </c>
      <c r="CB14" s="42" t="n">
        <f aca="false">IF(N(Tasks[[#This Row],[_Pred1UID]])=0,0,IFERROR(MATCH(Tasks[[#This Row],[_Pred1UID]],Tasks[UID],0),-1))</f>
        <v>0</v>
      </c>
      <c r="CC14" s="42" t="n">
        <f aca="false">IF(N(Tasks[[#This Row],[_Pred2UID]])=0,0,IFERROR(MATCH(Tasks[[#This Row],[_Pred2UID]],Tasks[UID],0),-1))</f>
        <v>0</v>
      </c>
      <c r="CD14" s="42" t="n">
        <f aca="false">IF(N(Tasks[[#This Row],[_Pred3UID]])=0,0,IFERROR(MATCH(Tasks[[#This Row],[_Pred3UID]],Tasks[UID],0),-1))</f>
        <v>0</v>
      </c>
      <c r="CE14" s="42" t="n">
        <f aca="false">IF(N(Tasks[[#This Row],[_Pred4UID]])=0,0,IFERROR(MATCH(Tasks[[#This Row],[_Pred4UID]],Tasks[UID],0),-1))</f>
        <v>0</v>
      </c>
      <c r="CF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 s="89" t="n">
        <f aca="false">IF(OR(Tasks[[#This Row],[_ConstraintCode]]=2,Tasks[[#This Row],[_ConstraintCode]]=3,Tasks[[#This Row],[_ConstraintCode]]=4,Tasks[[#This Row],[_ConstraintCode]]=6),Tasks[[#This Row],[_ConstraintStart]],0)</f>
        <v>0</v>
      </c>
      <c r="CI14" s="89" t="n">
        <f aca="false">IF(OR(Tasks[[#This Row],[_ConstraintCode]]=2,Tasks[[#This Row],[_ConstraintCode]]=3,Tasks[[#This Row],[_ConstraintCode]]=5,Tasks[[#This Row],[_ConstraintCode]]=7),Tasks[[#This Row],[_ConstraintStart]],2958465)</f>
        <v>2958465</v>
      </c>
      <c r="CJ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 s="89" t="str">
        <f aca="false">IF(NOT(Tasks[[#This Row],[_IsLeaf]]=1),"",IF(N(Tasks[[#This Row],[_Days]])&lt;=0,Tasks[[#This Row],[_LeafCalcStart]],WORKDAY.INTL(Tasks[[#This Row],[_LeafCalcStart]],Tasks[[#This Row],[_Days]]-1,WorkWeek,Holidays)))</f>
        <v/>
      </c>
      <c r="CL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 s="42" t="str">
        <f aca="false">IF(Tasks[[#This Row],[_Predecessors]]="","",TRIM(MID(SUBSTITUTE(SUBSTITUTE(SUBSTITUTE(UPPER(Tasks[[#This Row],[_Predecessors]]),";",",")," ",""),",",REPT(" ",99)),1,99)))</f>
        <v/>
      </c>
      <c r="CO14" s="42" t="str">
        <f aca="false">IF(Tasks[[#This Row],[_Pred1Text]]="","",IFERROR(VALUE(LEFT(Tasks[[#This Row],[_Pred1Text]],MIN(FIND("F",Tasks[[#This Row],[_Pred1Text]]&amp;"F"),FIND("S",Tasks[[#This Row],[_Pred1Text]]&amp;"S"),FIND("+",Tasks[[#This Row],[_Pred1Text]]&amp;"+"),FIND("-",Tasks[[#This Row],[_Pred1Text]]&amp;"-"))-1)),""))</f>
        <v/>
      </c>
      <c r="CP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 s="42" t="str">
        <f aca="false">IF(Tasks[[#This Row],[_Pred1Text]]="","",TRIM(MID(SUBSTITUTE(SUBSTITUTE(SUBSTITUTE(UPPER(Tasks[[#This Row],[_Predecessors]]),";",",")," ",""),",",REPT(" ",99)),100,99)))</f>
        <v/>
      </c>
      <c r="CS14" s="42" t="str">
        <f aca="false">IF(Tasks[[#This Row],[_Pred2Text]]="","",IFERROR(VALUE(LEFT(Tasks[[#This Row],[_Pred2Text]],MIN(FIND("F",Tasks[[#This Row],[_Pred2Text]]&amp;"F"),FIND("S",Tasks[[#This Row],[_Pred2Text]]&amp;"S"),FIND("+",Tasks[[#This Row],[_Pred2Text]]&amp;"+"),FIND("-",Tasks[[#This Row],[_Pred2Text]]&amp;"-"))-1)),""))</f>
        <v/>
      </c>
      <c r="CT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 s="42" t="str">
        <f aca="false">IF(Tasks[[#This Row],[_Pred2Text]]="","",TRIM(MID(SUBSTITUTE(SUBSTITUTE(SUBSTITUTE(UPPER(Tasks[[#This Row],[_Predecessors]]),";",",")," ",""),",",REPT(" ",99)),199,99)))</f>
        <v/>
      </c>
      <c r="CW14" s="42" t="str">
        <f aca="false">IF(Tasks[[#This Row],[_Pred3Text]]="","",IFERROR(VALUE(LEFT(Tasks[[#This Row],[_Pred3Text]],MIN(FIND("F",Tasks[[#This Row],[_Pred3Text]]&amp;"F"),FIND("S",Tasks[[#This Row],[_Pred3Text]]&amp;"S"),FIND("+",Tasks[[#This Row],[_Pred3Text]]&amp;"+"),FIND("-",Tasks[[#This Row],[_Pred3Text]]&amp;"-"))-1)),""))</f>
        <v/>
      </c>
      <c r="CX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 s="42" t="str">
        <f aca="false">IF(Tasks[[#This Row],[_Pred3Text]]="","",TRIM(MID(SUBSTITUTE(SUBSTITUTE(SUBSTITUTE(UPPER(Tasks[[#This Row],[_Predecessors]]),";",",")," ",""),",",REPT(" ",99)),298,99)))</f>
        <v/>
      </c>
      <c r="DA14" s="42" t="str">
        <f aca="false">IF(Tasks[[#This Row],[_Pred4Text]]="","",IFERROR(VALUE(LEFT(Tasks[[#This Row],[_Pred4Text]],MIN(FIND("F",Tasks[[#This Row],[_Pred4Text]]&amp;"F"),FIND("S",Tasks[[#This Row],[_Pred4Text]]&amp;"S"),FIND("+",Tasks[[#This Row],[_Pred4Text]]&amp;"+"),FIND("-",Tasks[[#This Row],[_Pred4Text]]&amp;"-"))-1)),""))</f>
        <v/>
      </c>
      <c r="DB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 s="42" t="str">
        <f aca="false">IF(OR(Tasks[[#This Row],[Task Name]]="",Tasks[[#This Row],[_Resources]]=""),"",TRIM(MID(SUBSTITUTE(Tasks[[#This Row],[_Resources]],",",REPT(" ",99)),1,99)))</f>
        <v/>
      </c>
      <c r="DE14" s="42" t="str">
        <f aca="false">IF(Tasks[[#This Row],[_Res1Text]]="","",TRIM(MID(SUBSTITUTE(Tasks[[#This Row],[_Resources]],",",REPT(" ",99)),100,99)))</f>
        <v/>
      </c>
      <c r="DF14" s="42" t="str">
        <f aca="false">IF(Tasks[[#This Row],[_Res2Text]]="","",TRIM(MID(SUBSTITUTE(Tasks[[#This Row],[_Resources]],",",REPT(" ",99)),199,99)))</f>
        <v/>
      </c>
      <c r="DG14" s="42" t="str">
        <f aca="false">IF(Tasks[[#This Row],[_Res3Text]]="","",TRIM(MID(SUBSTITUTE(Tasks[[#This Row],[_Resources]],",",REPT(" ",99)),298,99)))</f>
        <v/>
      </c>
      <c r="DH14" s="42" t="n">
        <f aca="false">IF(Tasks[[#This Row],[_Res1Text]]="",0,IFERROR(MATCH(TRIM(LEFT(Tasks[[#This Row],[_Res1Text]],FIND("[",Tasks[[#This Row],[_Res1Text]]&amp;"[")-1)),res_Name,0),IFERROR(MATCH(TRIM(LEFT(Tasks[[#This Row],[_Res1Text]],FIND("[",Tasks[[#This Row],[_Res1Text]]&amp;"[")-1)),res_Initials,0),0)))</f>
        <v>0</v>
      </c>
      <c r="DI14" s="42" t="n">
        <f aca="false">IF(Tasks[[#This Row],[_Res2Text]]="",0,IFERROR(MATCH(TRIM(LEFT(Tasks[[#This Row],[_Res2Text]],FIND("[",Tasks[[#This Row],[_Res2Text]]&amp;"[")-1)),res_Name,0),IFERROR(MATCH(TRIM(LEFT(Tasks[[#This Row],[_Res2Text]],FIND("[",Tasks[[#This Row],[_Res2Text]]&amp;"[")-1)),res_Initials,0),0)))</f>
        <v>0</v>
      </c>
      <c r="DJ14" s="42" t="n">
        <f aca="false">IF(Tasks[[#This Row],[_Res3Text]]="",0,IFERROR(MATCH(TRIM(LEFT(Tasks[[#This Row],[_Res3Text]],FIND("[",Tasks[[#This Row],[_Res3Text]]&amp;"[")-1)),res_Name,0),IFERROR(MATCH(TRIM(LEFT(Tasks[[#This Row],[_Res3Text]],FIND("[",Tasks[[#This Row],[_Res3Text]]&amp;"[")-1)),res_Initials,0),0)))</f>
        <v>0</v>
      </c>
      <c r="DK14" s="42" t="n">
        <f aca="false">IF(Tasks[[#This Row],[_Res4Text]]="",0,IFERROR(MATCH(TRIM(LEFT(Tasks[[#This Row],[_Res4Text]],FIND("[",Tasks[[#This Row],[_Res4Text]]&amp;"[")-1)),res_Name,0),IFERROR(MATCH(TRIM(LEFT(Tasks[[#This Row],[_Res4Text]],FIND("[",Tasks[[#This Row],[_Res4Text]]&amp;"[")-1)),res_Initials,0),0)))</f>
        <v>0</v>
      </c>
      <c r="DL14" s="42" t="str">
        <f aca="false">IF(Tasks[[#This Row],[_Res1Text]]="","",IF(Tasks[[#This Row],[_Res1Row]]&gt;0,INDEX(res_Name,Tasks[[#This Row],[_Res1Row]]),TRIM(LEFT(Tasks[[#This Row],[_Res1Text]],FIND("[",Tasks[[#This Row],[_Res1Text]]&amp;"[")-1))))</f>
        <v/>
      </c>
      <c r="DM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 s="42" t="n">
        <f aca="false">IF(NOT(Tasks[[#This Row],[_IsLeaf]]=1),0,(Tasks[[#This Row],[_Resource1]]&lt;&gt;"")+(Tasks[[#This Row],[_Res2]]&lt;&gt;"")+(Tasks[[#This Row],[_Res3]]&lt;&gt;"")+(Tasks[[#This Row],[_Res4]]&lt;&gt;""))</f>
        <v>0</v>
      </c>
      <c r="DO14" s="42" t="str">
        <f aca="false">IF(Tasks[[#This Row],[_Res2Text]]="","",IF(Tasks[[#This Row],[_Res2Row]]&gt;0,INDEX(res_Name,Tasks[[#This Row],[_Res2Row]]),TRIM(LEFT(Tasks[[#This Row],[_Res2Text]],FIND("[",Tasks[[#This Row],[_Res2Text]]&amp;"[")-1))))</f>
        <v/>
      </c>
      <c r="DP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 s="42" t="n">
        <f aca="false">IF(OR(NOT(Tasks[[#This Row],[_IsLeaf]]=1),Tasks[[#This Row],[_Res2Row]]=0),0,N(Tasks[[#This Row],[_Days]])*HoursPerDay*IF(Tasks[[#This Row],[_Res2Units]]="",DefaultUnits,Tasks[[#This Row],[_Res2Units]]))</f>
        <v>0</v>
      </c>
      <c r="DR14" s="42" t="n">
        <f aca="false">IF(AND(AND(Tasks[[#This Row],[_IsLeaf]]=1,Tasks[[#This Row],[_LeafTotalWork]]&gt;0),Tasks[[#This Row],[_Res2Work]]&gt;0),Tasks[[#This Row],[_Res2Work]]/(Tasks[[#This Row],[_FinishWorkday]]-Tasks[[#This Row],[_StartWorkday]]+1),0)</f>
        <v>0</v>
      </c>
      <c r="DS14" s="42" t="n">
        <f aca="false">Tasks[[#This Row],[_Res2WorkPerWD]]*MAX(0,Tasks[[#This Row],[_StartWorkday]]-1)</f>
        <v>0</v>
      </c>
      <c r="DT14" s="42" t="n">
        <f aca="false">Tasks[[#This Row],[_Res2Work]]*Tasks[[#This Row],[_LeafProgress]]</f>
        <v>0</v>
      </c>
      <c r="DU14" s="42" t="str">
        <f aca="false">IF(Tasks[[#This Row],[_Res3Text]]="","",IF(Tasks[[#This Row],[_Res3Row]]&gt;0,INDEX(res_Name,Tasks[[#This Row],[_Res3Row]]),TRIM(LEFT(Tasks[[#This Row],[_Res3Text]],FIND("[",Tasks[[#This Row],[_Res3Text]]&amp;"[")-1))))</f>
        <v/>
      </c>
      <c r="DV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 s="42" t="n">
        <f aca="false">IF(OR(NOT(Tasks[[#This Row],[_IsLeaf]]=1),Tasks[[#This Row],[_Res3Row]]=0),0,N(Tasks[[#This Row],[_Days]])*HoursPerDay*IF(Tasks[[#This Row],[_Res3Units]]="",DefaultUnits,Tasks[[#This Row],[_Res3Units]]))</f>
        <v>0</v>
      </c>
      <c r="DX14" s="42" t="n">
        <f aca="false">IF(AND(AND(Tasks[[#This Row],[_IsLeaf]]=1,Tasks[[#This Row],[_LeafTotalWork]]&gt;0),Tasks[[#This Row],[_Res3Work]]&gt;0),Tasks[[#This Row],[_Res3Work]]/(Tasks[[#This Row],[_FinishWorkday]]-Tasks[[#This Row],[_StartWorkday]]+1),0)</f>
        <v>0</v>
      </c>
      <c r="DY14" s="42" t="n">
        <f aca="false">Tasks[[#This Row],[_Res3WorkPerWD]]*MAX(0,Tasks[[#This Row],[_StartWorkday]]-1)</f>
        <v>0</v>
      </c>
      <c r="DZ14" s="42" t="n">
        <f aca="false">Tasks[[#This Row],[_Res3Work]]*Tasks[[#This Row],[_LeafProgress]]</f>
        <v>0</v>
      </c>
      <c r="EA14" s="42" t="str">
        <f aca="false">IF(Tasks[[#This Row],[_Res4Text]]="","",IF(Tasks[[#This Row],[_Res4Row]]&gt;0,INDEX(res_Name,Tasks[[#This Row],[_Res4Row]]),TRIM(LEFT(Tasks[[#This Row],[_Res4Text]],FIND("[",Tasks[[#This Row],[_Res4Text]]&amp;"[")-1))))</f>
        <v/>
      </c>
      <c r="EB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 s="42" t="n">
        <f aca="false">IF(OR(NOT(Tasks[[#This Row],[_IsLeaf]]=1),Tasks[[#This Row],[_Res4Row]]=0),0,N(Tasks[[#This Row],[_Days]])*HoursPerDay*IF(Tasks[[#This Row],[_Res4Units]]="",DefaultUnits,Tasks[[#This Row],[_Res4Units]]))</f>
        <v>0</v>
      </c>
      <c r="ED14" s="42" t="n">
        <f aca="false">IF(AND(AND(Tasks[[#This Row],[_IsLeaf]]=1,Tasks[[#This Row],[_LeafTotalWork]]&gt;0),Tasks[[#This Row],[_Res4Work]]&gt;0),Tasks[[#This Row],[_Res4Work]]/(Tasks[[#This Row],[_FinishWorkday]]-Tasks[[#This Row],[_StartWorkday]]+1),0)</f>
        <v>0</v>
      </c>
      <c r="EE14" s="42" t="n">
        <f aca="false">Tasks[[#This Row],[_Res4WorkPerWD]]*MAX(0,Tasks[[#This Row],[_StartWorkday]]-1)</f>
        <v>0</v>
      </c>
      <c r="EF14" s="42" t="n">
        <f aca="false">Tasks[[#This Row],[_Res4Work]]*Tasks[[#This Row],[_LeafProgress]]</f>
        <v>0</v>
      </c>
      <c r="EG14" s="42" t="n">
        <f aca="false">IF(ISNUMBER(Tasks[[#This Row],[% Complete]]),Tasks[[#This Row],[% Complete]],IF(Tasks[[#This Row],[Stage]]="",0,IFERROR(INDEX(stg_Pct,MATCH(Tasks[[#This Row],[Stage]],stg_Name,0)),0)))</f>
        <v>0</v>
      </c>
      <c r="EH14" s="42" t="n">
        <f aca="false">IF(NOT(Tasks[[#This Row],[_IsLeaf]]=1),0,IF(N(Tasks[[#This Row],[Actual Finish]])&gt;0,1,MIN(1,Tasks[[#This Row],[_Pct]])))</f>
        <v>0</v>
      </c>
      <c r="EI14" s="42" t="n">
        <f aca="false">IF(OR(NOT(Tasks[[#This Row],[_IsLeaf]]=1),Tasks[[#This Row],[_Res1Row]]=0),0,N(Tasks[[#This Row],[_Days]])*HoursPerDay*IF(Tasks[[#This Row],[_Units1]]="",DefaultUnits,Tasks[[#This Row],[_Units1]]))</f>
        <v>0</v>
      </c>
      <c r="EJ14" s="42" t="n">
        <f aca="false">Tasks[[#This Row],[_LeafWork]]+Tasks[[#This Row],[_Res2Work]]+Tasks[[#This Row],[_Res3Work]]+Tasks[[#This Row],[_Res4Work]]</f>
        <v>0</v>
      </c>
      <c r="EK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 s="42" t="n">
        <f aca="false">IF(NOT(Tasks[[#This Row],[_IsLeaf]]=1),0,MAX(_xlfn.MAXIFS(Tasks[_Row],Tasks[_Pred1UID],Tasks[[#This Row],[UID]]),_xlfn.MAXIFS(Tasks[_Row],Tasks[_Pred2UID],Tasks[[#This Row],[UID]]),_xlfn.MAXIFS(Tasks[_Row],Tasks[_Pred3UID],Tasks[[#This Row],[UID]]),_xlfn.MAXIFS(Tasks[_Row],Tasks[_Pred4UID],Tasks[[#This Row],[UID]])))</f>
        <v>0</v>
      </c>
      <c r="ET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 s="89" t="str">
        <f aca="false">IF(NOT(Tasks[[#This Row],[_IsLeaf]]=1),"",IF(N(Tasks[[#This Row],[_Days]])&lt;=0,Tasks[[#This Row],[_LeafLateFinish]],WORKDAY.INTL(Tasks[[#This Row],[_LeafLateFinish]],-(Tasks[[#This Row],[_Days]]-1),WorkWeek,Holidays)))</f>
        <v/>
      </c>
      <c r="EW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 s="88" t="b">
        <f aca="false">AND(Tasks[[#This Row],[_IsLeaf]]=1,Tasks[[#This Row],[_LeafProgress]]&lt;1,N(Tasks[[#This Row],[_LeafTotalSlack]])&lt;=CriticalSlackDays)</f>
        <v>0</v>
      </c>
      <c r="EY14" s="42" t="n">
        <f aca="false">IF(AND(Tasks[[#This Row],[_IsLeaf]]=1,Tasks[[#This Row],[_ConstraintCode]]=1,Tasks[[#This Row],[Mode]]&lt;&gt;"Manual",N(Tasks[[#This Row],[Actual Start]])=0),MAX(0,N(Tasks[[#This Row],[Free Slack]])),0)</f>
        <v>0</v>
      </c>
      <c r="EZ14" s="89" t="str">
        <f aca="false">IF(NOT(Tasks[[#This Row],[_IsLeaf]]=1),"",IF(Tasks[[#This Row],[_AlapShift]]=0,Tasks[[#This Row],[_LeafCalcStart]],WORKDAY.INTL(Tasks[[#This Row],[_LeafCalcStart]],Tasks[[#This Row],[_AlapShift]],WorkWeek,Holidays)))</f>
        <v/>
      </c>
      <c r="FA14" s="89" t="str">
        <f aca="false">IF(NOT(Tasks[[#This Row],[_IsLeaf]]=1),"",IF(Tasks[[#This Row],[_AlapShift]]=0,Tasks[[#This Row],[_LeafCalcFinish]],WORKDAY.INTL(Tasks[[#This Row],[_LeafCalcFinish]],Tasks[[#This Row],[_AlapShift]],WorkWeek,Holidays)))</f>
        <v/>
      </c>
      <c r="FB14" s="89" t="str">
        <f aca="false">IF(NOT(Tasks[[#This Row],[_IsLeaf]]=1),"",IF(Tasks[[#This Row],[_AlapShift]]=0,Tasks[[#This Row],[_LeafFcstStart]],WORKDAY.INTL(Tasks[[#This Row],[_LeafFcstStart]],Tasks[[#This Row],[_AlapShift]],WorkWeek,Holidays)))</f>
        <v/>
      </c>
      <c r="FC14" s="89" t="str">
        <f aca="false">IF(NOT(Tasks[[#This Row],[_IsLeaf]]=1),"",IF(Tasks[[#This Row],[_AlapShift]]=0,Tasks[[#This Row],[_LeafFcstFinish]],WORKDAY.INTL(Tasks[[#This Row],[_LeafFcstFinish]],Tasks[[#This Row],[_AlapShift]],WorkWeek,Holidays)))</f>
        <v/>
      </c>
      <c r="FD14" s="89" t="n">
        <f aca="false">IF(Tasks[[#This Row],[Task Name]]="","",IF(Tasks[[#This Row],[_IsSummary]],MIN(INDEX(Tasks[_ShownCalcStart],Tasks[[#This Row],[_Row]]+1):INDEX(Tasks[_ShownCalcStart],Tasks[[#This Row],[_Row]]+Tasks[[#This Row],[_Descendants]])),Tasks[[#This Row],[_ShownCalcStart]]))</f>
        <v>46297</v>
      </c>
      <c r="FE14" s="89" t="n">
        <f aca="false">IF(Tasks[[#This Row],[Task Name]]="","",IF(Tasks[[#This Row],[_IsSummary]],MAX(INDEX(Tasks[_ShownCalcFinish],Tasks[[#This Row],[_Row]]+1):INDEX(Tasks[_ShownCalcFinish],Tasks[[#This Row],[_Row]]+Tasks[[#This Row],[_Descendants]])),Tasks[[#This Row],[_ShownCalcFinish]]))</f>
        <v>46318</v>
      </c>
      <c r="FF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 s="42" t="n">
        <f aca="false">IF(AND(Tasks[[#This Row],[_IsLeaf]]=1,Tasks[[#This Row],[_LeafTotalWork]]&gt;0),NETWORKDAYS.INTL(ProjectStart,Tasks[[#This Row],[_ShownFcstStart]],WorkWeek,Holidays),0)</f>
        <v>0</v>
      </c>
      <c r="FS14" s="42" t="n">
        <f aca="false">IF(AND(Tasks[[#This Row],[_IsLeaf]]=1,Tasks[[#This Row],[_LeafTotalWork]]&gt;0),MAX(Tasks[[#This Row],[_StartWorkday]],NETWORKDAYS.INTL(ProjectStart,Tasks[[#This Row],[_ShownFcstFinish]],WorkWeek,Holidays)),0)</f>
        <v>0</v>
      </c>
      <c r="FT14" s="42" t="n">
        <f aca="false">IF(AND(Tasks[[#This Row],[_IsLeaf]]=1,Tasks[[#This Row],[_LeafTotalWork]]&gt;0),Tasks[[#This Row],[_LeafWork]]/(Tasks[[#This Row],[_FinishWorkday]]-Tasks[[#This Row],[_StartWorkday]]+1),0)</f>
        <v>0</v>
      </c>
      <c r="FU14" s="42" t="n">
        <f aca="false">Tasks[[#This Row],[_WorkPerWorkday]]*(Tasks[[#This Row],[_StartWorkday]]-1)</f>
        <v>-0</v>
      </c>
      <c r="FV14" s="42" t="n">
        <f aca="false">IF(Tasks[[#This Row],[_IsLeaf]]=1,MAX(N(Tasks[[#This Row],[_Days]]),0.1),0)</f>
        <v>0</v>
      </c>
      <c r="FW14" s="42" t="n">
        <f aca="false">Tasks[[#This Row],[_WeightDur]]*Tasks[[#This Row],[_LeafProgress]]</f>
        <v>0</v>
      </c>
      <c r="FX14" s="42" t="n">
        <f aca="false">Tasks[[#This Row],[_WeightDur]]*Tasks[[#This Row],[_PlannedPct]]</f>
        <v>0</v>
      </c>
      <c r="FY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 s="42" t="str">
        <f aca="false">IF(AND(Tasks[[#This Row],[_IsLeaf]]=1,N(Tasks[[#This Row],[_Days]])=0,Tasks[[#This Row],[_LeafProgress]]&lt;1),Tasks[[#This Row],[_ShownFcstFinish]]+Tasks[[#This Row],[_Row]]/100000,"")</f>
        <v/>
      </c>
      <c r="GA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 s="42" t="str">
        <f aca="false">IF(Tasks[[#This Row],[Task Name]]="","",LEFT(Tasks[[#This Row],[WBS]],FIND(".",Tasks[[#This Row],[WBS]]&amp;".")-1))</f>
        <v>3</v>
      </c>
      <c r="GC14" s="42" t="n">
        <f aca="false">IF(AND(Tasks[[#This Row],[Task Name]]&lt;&gt;"",Tasks[[#This Row],[_Level]]=1),Tasks[[#This Row],[_Row]],"")</f>
        <v>9</v>
      </c>
      <c r="GD14" s="42" t="str">
        <f aca="false">IF(AND(Tasks[[#This Row],[_IsLeaf]]=1,N(Tasks[[#This Row],[_Days]])=0),Tasks[[#This Row],[Planned Finish]]+Tasks[[#This Row],[_Row]]/100000,"")</f>
        <v/>
      </c>
      <c r="GE14" s="42" t="str">
        <f aca="false">IF(AND(Tasks[[#This Row],[_IsLeaf]]=1,Tasks[[#This Row],[_LeafProgress]]&lt;1,OR(N(Tasks[[#This Row],[Finish Var]])&gt;0,Tasks[[#This Row],[Status]]="Late Start")),MAX(0,Tasks[[#This Row],[Finish Var]])+1-Tasks[[#This Row],[_Row]]/1000000,"")</f>
        <v/>
      </c>
      <c r="GF14" s="42" t="str">
        <f aca="false">IF(AND(Tasks[[#This Row],[_IsLeaf]]=1,N(Tasks[[#This Row],[Actual Start]])=0,Tasks[[#This Row],[_ShownFcstStart]]&gt;=StatusDate,Tasks[[#This Row],[_ShownFcstStart]]&lt;=LookaheadEnd),Tasks[[#This Row],[_ShownFcstStart]]+Tasks[[#This Row],[_Row]]/100000,"")</f>
        <v/>
      </c>
      <c r="GG14" s="42" t="str">
        <f aca="false">IF(AND(Tasks[[#This Row],[_IsLeaf]]=1,Tasks[[#This Row],[_LeafProgress]]&lt;1,Tasks[[#This Row],[_ShownFcstFinish]]&gt;=StatusDate,Tasks[[#This Row],[_ShownFcstFinish]]&lt;=LookaheadEnd),Tasks[[#This Row],[_ShownFcstFinish]]+Tasks[[#This Row],[_Row]]/100000,"")</f>
        <v/>
      </c>
      <c r="GH14" s="42" t="str">
        <f aca="false">IF(Tasks[[#This Row],[_LeafCritical]],Tasks[[#This Row],[_ShownFcstStart]]+Tasks[[#This Row],[_Row]]/100000,"")</f>
        <v/>
      </c>
      <c r="GI14" s="42" t="n">
        <f aca="false">Tasks[[#This Row],[_LeafWork]]*Tasks[[#This Row],[_LeafProgress]]</f>
        <v>0</v>
      </c>
      <c r="GJ14" s="89" t="str">
        <f aca="false">IF(AND(Tasks[[#This Row],[_IsLeaf]]=1,Tasks[[#This Row],[_LeafProgress]]&gt;=1),IF(N(Tasks[[#This Row],[Actual Finish]])&gt;0,Tasks[[#This Row],[Actual Finish]],Tasks[[#This Row],[_ShownFcstFinish]]),"")</f>
        <v/>
      </c>
      <c r="GK14" s="42" t="n">
        <f aca="false">IF(Tasks[[#This Row],[_IsLeaf]]=1,N(Tasks[[#This Row],[Story Points]]),0)</f>
        <v>0</v>
      </c>
      <c r="GL14" s="42" t="str">
        <f aca="false">""</f>
        <v/>
      </c>
      <c r="GM14" s="88" t="b">
        <f aca="false">IF(Tasks[[#This Row],[Task Name]]="",FALSE(),AND(Tasks[[#This Row],[_IsLeaf]]=1,N(Tasks[[#This Row],[_Days]])=0))</f>
        <v>0</v>
      </c>
      <c r="GN14" s="89" t="n">
        <f aca="false">IF(Tasks[[#This Row],[Task Name]]="",0,IF(AND(Tasks[[#This Row],[_IsLeaf]]=1,NOT(Tasks[[#This Row],[_IsMilestone]]),N(Tasks[[#This Row],[Progress]])&gt;0),Tasks[[#This Row],[Start]],0))</f>
        <v>0</v>
      </c>
      <c r="GO14" s="89" t="n">
        <f aca="false">IF(Tasks[[#This Row],[_DoneFrom]]=0,0,IF(Tasks[[#This Row],[Progress]]&gt;=1,Tasks[[#This Row],[Finish]],MAX(Tasks[[#This Row],[_DoneFrom]],Tasks[[#This Row],[Start]]+ROUND((Tasks[[#This Row],[Finish]]-Tasks[[#This Row],[Start]]+1)*Tasks[[#This Row],[Progress]],0)-1)))</f>
        <v>0</v>
      </c>
      <c r="GP14" s="89" t="n">
        <f aca="false">IF(Tasks[[#This Row],[Task Name]]="",0,IF(OR(NOT(Tasks[[#This Row],[_IsLeaf]]=1),Tasks[[#This Row],[_IsMilestone]],N(Tasks[[#This Row],[Progress]])&gt;=1),0,IF(Tasks[[#This Row],[_DoneTo]]&gt;0,Tasks[[#This Row],[_DoneTo]]+1,Tasks[[#This Row],[Start]])))</f>
        <v>0</v>
      </c>
      <c r="GQ14" s="89" t="n">
        <f aca="false">IF(Tasks[[#This Row],[_RemFrom]]=0,0,Tasks[[#This Row],[Finish]])</f>
        <v>0</v>
      </c>
      <c r="GR14" s="88" t="b">
        <f aca="false">IF(Tasks[[#This Row],[Task Name]]="",FALSE(),OR(NOT(BaselineSet),N(Tasks[[#This Row],[Baseline Start]])&gt;0))</f>
        <v>1</v>
      </c>
      <c r="GS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 s="90" t="str">
        <f aca="false">IF(Tasks[[#This Row],[_IsLeaf]]=1,Tasks[[#This Row],[_Row]],"")</f>
        <v/>
      </c>
      <c r="GW14" s="90" t="str">
        <f aca="false">IFERROR(INDEX(Tasks[UID],SMALL(Tasks[_PickKey],Tasks[[#This Row],[_Row]]))&amp;" "&amp;INDEX(Tasks[Task Name],SMALL(Tasks[_PickKey],Tasks[[#This Row],[_Row]])),"")</f>
        <v>25 Go-live</v>
      </c>
      <c r="GX14" s="42" t="n">
        <f aca="false">IF(Tasks[[#This Row],[Task Name]]="","",IF(Tasks[[#This Row],[_IsSummary]],NETWORKDAYS.INTL(Tasks[[#This Row],[Start]],Tasks[[#This Row],[Finish]],WorkWeek,Holidays),N(Tasks[[#This Row],[_Days]])))</f>
        <v>17</v>
      </c>
    </row>
    <row r="15" customFormat="false" ht="15" hidden="false" customHeight="false" outlineLevel="1" collapsed="false">
      <c r="A15" s="21" t="n">
        <f aca="false">IF(Tasks[[#This Row],[Task Name]]="","",COUNTA(Tasks[[#Headers],[Task Name]]:Tasks[[#This Row],[Task Name]])-1)</f>
        <v>10</v>
      </c>
      <c r="B15" s="22" t="n">
        <v>21</v>
      </c>
      <c r="C15" s="22" t="n">
        <v>2</v>
      </c>
      <c r="D15" s="91" t="s">
        <v>624</v>
      </c>
      <c r="E15" s="22" t="n">
        <v>15</v>
      </c>
      <c r="F15" s="23" t="n">
        <v>9</v>
      </c>
      <c r="G15" s="22"/>
      <c r="H15" s="22"/>
      <c r="I15" s="23"/>
      <c r="J15" s="22"/>
      <c r="K15" s="22"/>
      <c r="L15" s="23"/>
      <c r="M15" s="22"/>
      <c r="N15" s="22"/>
      <c r="O15" s="23"/>
      <c r="P15" s="22"/>
      <c r="Q15" s="22"/>
      <c r="R15" s="23"/>
      <c r="S15" s="23" t="s">
        <v>623</v>
      </c>
      <c r="T15" s="83"/>
      <c r="U15" s="23" t="s">
        <v>625</v>
      </c>
      <c r="V15" s="83" t="n">
        <v>0.5</v>
      </c>
      <c r="W15" s="23"/>
      <c r="X15" s="83"/>
      <c r="Y15" s="23"/>
      <c r="Z15" s="83"/>
      <c r="AA15" s="23"/>
      <c r="AB15" s="23" t="s">
        <v>247</v>
      </c>
      <c r="AC15" s="7" t="n">
        <v>46302</v>
      </c>
      <c r="AD15" s="7"/>
      <c r="AE15" s="62" t="n">
        <f aca="false">IF(Tasks[[#This Row],[Task Name]]="","",IF(Tasks[[#This Row],[_IsSummary]],MIN(INDEX(Tasks[_ShownFcstStart],Tasks[[#This Row],[_Row]]+1):INDEX(Tasks[_ShownFcstStart],Tasks[[#This Row],[_Row]]+Tasks[[#This Row],[_Descendants]])),Tasks[[#This Row],[_ShownFcstStart]]))</f>
        <v>46302</v>
      </c>
      <c r="AF15" s="62" t="n">
        <f aca="false">IF(Tasks[[#This Row],[Task Name]]="","",IF(Tasks[[#This Row],[_IsSummary]],MAX(INDEX(Tasks[_ShownFcstFinish],Tasks[[#This Row],[_Row]]+1):INDEX(Tasks[_ShownFcstFinish],Tasks[[#This Row],[_Row]]+Tasks[[#This Row],[_Descendants]])),Tasks[[#This Row],[_ShownFcstFinish]]))</f>
        <v>46323</v>
      </c>
      <c r="AG15" s="21" t="str">
        <f aca="false">""</f>
        <v/>
      </c>
      <c r="AH15" s="23" t="s">
        <v>626</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 s="7"/>
      <c r="AK15" s="22" t="s">
        <v>235</v>
      </c>
      <c r="AL15" s="23"/>
      <c r="AM15" s="7"/>
      <c r="AN15" s="46"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2" t="n">
        <f aca="false">IF(Tasks[[#This Row],[Task Name]]="","",IF(N(Tasks[[#This Row],[Baseline Start]])&gt;0,Tasks[[#This Row],[Baseline Start]],Tasks[[#This Row],[_CalcStart]]))</f>
        <v>46297</v>
      </c>
      <c r="AR15" s="62" t="n">
        <f aca="false">IF(Tasks[[#This Row],[Task Name]]="","",IF(N(Tasks[[#This Row],[Baseline Finish]])&gt;0,Tasks[[#This Row],[Baseline Finish]],Tasks[[#This Row],[_CalcFinish]]))</f>
        <v>46317</v>
      </c>
      <c r="AS15" s="46" t="n">
        <f aca="false">IF(Tasks[[#This Row],[Task Name]]="","",IF(Tasks[[#This Row],[Start]]&gt;=Tasks[[#This Row],[Planned Start]],NETWORKDAYS.INTL(Tasks[[#This Row],[Planned Start]],Tasks[[#This Row],[Start]],WorkWeek,Holidays)-1,1-NETWORKDAYS.INTL(Tasks[[#This Row],[Start]],Tasks[[#This Row],[Planned Start]],WorkWeek,Holidays)))</f>
        <v>3</v>
      </c>
      <c r="AT15" s="62" t="n">
        <f aca="false">IF(Tasks[[#This Row],[Task Name]]="","",IF(Tasks[[#This Row],[_IsSummary]],MIN(INDEX(Tasks[_LeafLateStart],Tasks[[#This Row],[_Row]]+1):INDEX(Tasks[_LeafLateStart],Tasks[[#This Row],[_Row]]+Tasks[[#This Row],[_Descendants]])),Tasks[[#This Row],[_LeafLateStart]]))</f>
        <v>46303</v>
      </c>
      <c r="AU15" s="62" t="n">
        <f aca="false">IF(Tasks[[#This Row],[Task Name]]="","",IF(Tasks[[#This Row],[_IsSummary]],MAX(INDEX(Tasks[_LeafLateFinish],Tasks[[#This Row],[_Row]]+1):INDEX(Tasks[_LeafLateFinish],Tasks[[#This Row],[_Row]]+Tasks[[#This Row],[_Descendants]])),Tasks[[#This Row],[_LeafLateFinish]]))</f>
        <v>46323</v>
      </c>
      <c r="AV15" s="46"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4"/>
      <c r="BA15"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5"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6"/>
      <c r="BJ15" s="22"/>
      <c r="BK15" s="46" t="n">
        <f aca="false">IF(OR(Tasks[[#This Row],[Task Name]]="",Tasks[[#This Row],[Baseline Duration]]=""),"",Tasks[[#This Row],[_SpanDays]]-N(Tasks[[#This Row],[Baseline Duration]]))</f>
        <v>0</v>
      </c>
      <c r="BL15" s="85" t="n">
        <f aca="false">IF(OR(Tasks[[#This Row],[Task Name]]="",Tasks[[#This Row],[Baseline Work]]=""),"",Tasks[[#This Row],[Work]]-N(Tasks[[#This Row],[Baseline Work]]))</f>
        <v>60</v>
      </c>
      <c r="BM15" s="62" t="n">
        <f aca="false">IF(Tasks[[#This Row],[Task Name]]="","",IF(OR(TakeBaseline="Yes",N(Tasks[[#This Row],[Baseline Start]])=0),Tasks[[#This Row],[Start]],Tasks[[#This Row],[Baseline Start]]))</f>
        <v>46297</v>
      </c>
      <c r="BN15" s="62"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5" t="n">
        <f aca="false">IF(Tasks[[#This Row],[Task Name]]="","",IF(OR(TakeBaseline="Yes",N(Tasks[[#This Row],[Baseline Work]])=0),Tasks[[#This Row],[Work]],Tasks[[#This Row],[Baseline Work]]))</f>
        <v>120</v>
      </c>
      <c r="BQ15" s="7" t="n">
        <v>46297</v>
      </c>
      <c r="BR15" s="7" t="n">
        <v>46317</v>
      </c>
      <c r="BS15" s="22" t="n">
        <v>15</v>
      </c>
      <c r="BT15" s="87" t="n">
        <v>120</v>
      </c>
      <c r="BU15" s="42" t="n">
        <f aca="false">IF(Tasks[[#This Row],[Task Name]]="","",MAX(1,N(Tasks[[#This Row],[Level]])))</f>
        <v>2</v>
      </c>
      <c r="BV15" s="42" t="n">
        <f aca="false">ROW()-ROW(Tasks[[#Headers],[ID]])</f>
        <v>10</v>
      </c>
      <c r="BW15" s="42" t="n">
        <f aca="false">IF(OR(Tasks[[#This Row],[Task Name]]="",Tasks[[#This Row],[_Level]]&lt;=1),0,IFERROR(LOOKUP(2,1/(Tasks[[#Headers],[_Level]]:Tasks[[#This Row],[_Level]]=Tasks[[#This Row],[_Level]]-1),ROW(Tasks[[#Headers],[_Level]]:Tasks[[#This Row],[_Level]])),0))</f>
        <v>14</v>
      </c>
      <c r="BX15" s="42" t="n">
        <f aca="false">IFERROR(N(INDEX(Tasks[_Level],Tasks[[#This Row],[_Row]]+1)),0)</f>
        <v>2</v>
      </c>
      <c r="BY15" s="88" t="b">
        <f aca="false">AND(Tasks[[#This Row],[Task Name]]&lt;&gt;"",Tasks[[#This Row],[_NextLevel]]&gt;Tasks[[#This Row],[_Level]])</f>
        <v>0</v>
      </c>
      <c r="BZ15" s="42" t="n">
        <f aca="false">IF(Tasks[[#This Row],[_IsSummary]],COUNTIF(Tasks[WBS],Tasks[[#This Row],[WBS]]&amp;".*"),0)</f>
        <v>0</v>
      </c>
      <c r="CA15" s="42" t="n">
        <f aca="false">IF(AND(Tasks[[#This Row],[Task Name]]&lt;&gt;"",NOT(Tasks[[#This Row],[_IsSummary]])),1,0)</f>
        <v>1</v>
      </c>
      <c r="CB15" s="42" t="n">
        <f aca="false">IF(N(Tasks[[#This Row],[_Pred1UID]])=0,0,IFERROR(MATCH(Tasks[[#This Row],[_Pred1UID]],Tasks[UID],0),-1))</f>
        <v>8</v>
      </c>
      <c r="CC15" s="42" t="n">
        <f aca="false">IF(N(Tasks[[#This Row],[_Pred2UID]])=0,0,IFERROR(MATCH(Tasks[[#This Row],[_Pred2UID]],Tasks[UID],0),-1))</f>
        <v>0</v>
      </c>
      <c r="CD15" s="42" t="n">
        <f aca="false">IF(N(Tasks[[#This Row],[_Pred3UID]])=0,0,IFERROR(MATCH(Tasks[[#This Row],[_Pred3UID]],Tasks[UID],0),-1))</f>
        <v>0</v>
      </c>
      <c r="CE15" s="42" t="n">
        <f aca="false">IF(N(Tasks[[#This Row],[_Pred4UID]])=0,0,IFERROR(MATCH(Tasks[[#This Row],[_Pred4UID]],Tasks[UID],0),-1))</f>
        <v>0</v>
      </c>
      <c r="CF15"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 s="89" t="n">
        <f aca="false">IF(OR(Tasks[[#This Row],[_ConstraintCode]]=2,Tasks[[#This Row],[_ConstraintCode]]=3,Tasks[[#This Row],[_ConstraintCode]]=4,Tasks[[#This Row],[_ConstraintCode]]=6),Tasks[[#This Row],[_ConstraintStart]],0)</f>
        <v>0</v>
      </c>
      <c r="CI15" s="89" t="n">
        <f aca="false">IF(OR(Tasks[[#This Row],[_ConstraintCode]]=2,Tasks[[#This Row],[_ConstraintCode]]=3,Tasks[[#This Row],[_ConstraintCode]]=5,Tasks[[#This Row],[_ConstraintCode]]=7),Tasks[[#This Row],[_ConstraintStart]],2958465)</f>
        <v>2958465</v>
      </c>
      <c r="CJ15"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K15" s="89" t="n">
        <f aca="false">IF(NOT(Tasks[[#This Row],[_IsLeaf]]=1),"",IF(N(Tasks[[#This Row],[_Days]])&lt;=0,Tasks[[#This Row],[_LeafCalcStart]],WORKDAY.INTL(Tasks[[#This Row],[_LeafCalcStart]],Tasks[[#This Row],[_Days]]-1,WorkWeek,Holidays)))</f>
        <v>46317</v>
      </c>
      <c r="CL15"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M15"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N15" s="42" t="str">
        <f aca="false">IF(Tasks[[#This Row],[_Predecessors]]="","",TRIM(MID(SUBSTITUTE(SUBSTITUTE(SUBSTITUTE(UPPER(Tasks[[#This Row],[_Predecessors]]),";",",")," ",""),",",REPT(" ",99)),1,99)))</f>
        <v>9</v>
      </c>
      <c r="CO15" s="42" t="n">
        <f aca="false">IF(Tasks[[#This Row],[_Pred1Text]]="","",IFERROR(VALUE(LEFT(Tasks[[#This Row],[_Pred1Text]],MIN(FIND("F",Tasks[[#This Row],[_Pred1Text]]&amp;"F"),FIND("S",Tasks[[#This Row],[_Pred1Text]]&amp;"S"),FIND("+",Tasks[[#This Row],[_Pred1Text]]&amp;"+"),FIND("-",Tasks[[#This Row],[_Pred1Text]]&amp;"-"))-1)),""))</f>
        <v>9</v>
      </c>
      <c r="CP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5"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5" s="42" t="str">
        <f aca="false">IF(Tasks[[#This Row],[_Pred1Text]]="","",TRIM(MID(SUBSTITUTE(SUBSTITUTE(SUBSTITUTE(UPPER(Tasks[[#This Row],[_Predecessors]]),";",",")," ",""),",",REPT(" ",99)),100,99)))</f>
        <v/>
      </c>
      <c r="CS15" s="42" t="str">
        <f aca="false">IF(Tasks[[#This Row],[_Pred2Text]]="","",IFERROR(VALUE(LEFT(Tasks[[#This Row],[_Pred2Text]],MIN(FIND("F",Tasks[[#This Row],[_Pred2Text]]&amp;"F"),FIND("S",Tasks[[#This Row],[_Pred2Text]]&amp;"S"),FIND("+",Tasks[[#This Row],[_Pred2Text]]&amp;"+"),FIND("-",Tasks[[#This Row],[_Pred2Text]]&amp;"-"))-1)),""))</f>
        <v/>
      </c>
      <c r="CT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 s="42" t="str">
        <f aca="false">IF(Tasks[[#This Row],[_Pred2Text]]="","",TRIM(MID(SUBSTITUTE(SUBSTITUTE(SUBSTITUTE(UPPER(Tasks[[#This Row],[_Predecessors]]),";",",")," ",""),",",REPT(" ",99)),199,99)))</f>
        <v/>
      </c>
      <c r="CW15" s="42" t="str">
        <f aca="false">IF(Tasks[[#This Row],[_Pred3Text]]="","",IFERROR(VALUE(LEFT(Tasks[[#This Row],[_Pred3Text]],MIN(FIND("F",Tasks[[#This Row],[_Pred3Text]]&amp;"F"),FIND("S",Tasks[[#This Row],[_Pred3Text]]&amp;"S"),FIND("+",Tasks[[#This Row],[_Pred3Text]]&amp;"+"),FIND("-",Tasks[[#This Row],[_Pred3Text]]&amp;"-"))-1)),""))</f>
        <v/>
      </c>
      <c r="CX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 s="42" t="str">
        <f aca="false">IF(Tasks[[#This Row],[_Pred3Text]]="","",TRIM(MID(SUBSTITUTE(SUBSTITUTE(SUBSTITUTE(UPPER(Tasks[[#This Row],[_Predecessors]]),";",",")," ",""),",",REPT(" ",99)),298,99)))</f>
        <v/>
      </c>
      <c r="DA15" s="42" t="str">
        <f aca="false">IF(Tasks[[#This Row],[_Pred4Text]]="","",IFERROR(VALUE(LEFT(Tasks[[#This Row],[_Pred4Text]],MIN(FIND("F",Tasks[[#This Row],[_Pred4Text]]&amp;"F"),FIND("S",Tasks[[#This Row],[_Pred4Text]]&amp;"S"),FIND("+",Tasks[[#This Row],[_Pred4Text]]&amp;"+"),FIND("-",Tasks[[#This Row],[_Pred4Text]]&amp;"-"))-1)),""))</f>
        <v/>
      </c>
      <c r="DB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 s="42" t="str">
        <f aca="false">IF(OR(Tasks[[#This Row],[Task Name]]="",Tasks[[#This Row],[_Resources]]=""),"",TRIM(MID(SUBSTITUTE(Tasks[[#This Row],[_Resources]],",",REPT(" ",99)),1,99)))</f>
        <v>Taylor Morgan</v>
      </c>
      <c r="DE15" s="42" t="str">
        <f aca="false">IF(Tasks[[#This Row],[_Res1Text]]="","",TRIM(MID(SUBSTITUTE(Tasks[[#This Row],[_Resources]],",",REPT(" ",99)),100,99)))</f>
        <v>Sam Rivera[50%]</v>
      </c>
      <c r="DF15" s="42" t="str">
        <f aca="false">IF(Tasks[[#This Row],[_Res2Text]]="","",TRIM(MID(SUBSTITUTE(Tasks[[#This Row],[_Resources]],",",REPT(" ",99)),199,99)))</f>
        <v/>
      </c>
      <c r="DG15" s="42" t="str">
        <f aca="false">IF(Tasks[[#This Row],[_Res3Text]]="","",TRIM(MID(SUBSTITUTE(Tasks[[#This Row],[_Resources]],",",REPT(" ",99)),298,99)))</f>
        <v/>
      </c>
      <c r="DH15" s="42" t="n">
        <f aca="false">IF(Tasks[[#This Row],[_Res1Text]]="",0,IFERROR(MATCH(TRIM(LEFT(Tasks[[#This Row],[_Res1Text]],FIND("[",Tasks[[#This Row],[_Res1Text]]&amp;"[")-1)),res_Name,0),IFERROR(MATCH(TRIM(LEFT(Tasks[[#This Row],[_Res1Text]],FIND("[",Tasks[[#This Row],[_Res1Text]]&amp;"[")-1)),res_Initials,0),0)))</f>
        <v>7</v>
      </c>
      <c r="DI15" s="42" t="n">
        <f aca="false">IF(Tasks[[#This Row],[_Res2Text]]="",0,IFERROR(MATCH(TRIM(LEFT(Tasks[[#This Row],[_Res2Text]],FIND("[",Tasks[[#This Row],[_Res2Text]]&amp;"[")-1)),res_Name,0),IFERROR(MATCH(TRIM(LEFT(Tasks[[#This Row],[_Res2Text]],FIND("[",Tasks[[#This Row],[_Res2Text]]&amp;"[")-1)),res_Initials,0),0)))</f>
        <v>6</v>
      </c>
      <c r="DJ15" s="42" t="n">
        <f aca="false">IF(Tasks[[#This Row],[_Res3Text]]="",0,IFERROR(MATCH(TRIM(LEFT(Tasks[[#This Row],[_Res3Text]],FIND("[",Tasks[[#This Row],[_Res3Text]]&amp;"[")-1)),res_Name,0),IFERROR(MATCH(TRIM(LEFT(Tasks[[#This Row],[_Res3Text]],FIND("[",Tasks[[#This Row],[_Res3Text]]&amp;"[")-1)),res_Initials,0),0)))</f>
        <v>0</v>
      </c>
      <c r="DK15" s="42" t="n">
        <f aca="false">IF(Tasks[[#This Row],[_Res4Text]]="",0,IFERROR(MATCH(TRIM(LEFT(Tasks[[#This Row],[_Res4Text]],FIND("[",Tasks[[#This Row],[_Res4Text]]&amp;"[")-1)),res_Name,0),IFERROR(MATCH(TRIM(LEFT(Tasks[[#This Row],[_Res4Text]],FIND("[",Tasks[[#This Row],[_Res4Text]]&amp;"[")-1)),res_Initials,0),0)))</f>
        <v>0</v>
      </c>
      <c r="DL15" s="42" t="str">
        <f aca="false">IF(Tasks[[#This Row],[_Res1Text]]="","",IF(Tasks[[#This Row],[_Res1Row]]&gt;0,INDEX(res_Name,Tasks[[#This Row],[_Res1Row]]),TRIM(LEFT(Tasks[[#This Row],[_Res1Text]],FIND("[",Tasks[[#This Row],[_Res1Text]]&amp;"[")-1))))</f>
        <v>Taylor Morgan</v>
      </c>
      <c r="DM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 s="42" t="n">
        <f aca="false">IF(NOT(Tasks[[#This Row],[_IsLeaf]]=1),0,(Tasks[[#This Row],[_Resource1]]&lt;&gt;"")+(Tasks[[#This Row],[_Res2]]&lt;&gt;"")+(Tasks[[#This Row],[_Res3]]&lt;&gt;"")+(Tasks[[#This Row],[_Res4]]&lt;&gt;""))</f>
        <v>2</v>
      </c>
      <c r="DO15" s="42" t="str">
        <f aca="false">IF(Tasks[[#This Row],[_Res2Text]]="","",IF(Tasks[[#This Row],[_Res2Row]]&gt;0,INDEX(res_Name,Tasks[[#This Row],[_Res2Row]]),TRIM(LEFT(Tasks[[#This Row],[_Res2Text]],FIND("[",Tasks[[#This Row],[_Res2Text]]&amp;"[")-1))))</f>
        <v>Sam Rivera</v>
      </c>
      <c r="DP15" s="42"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Q15" s="42" t="n">
        <f aca="false">IF(OR(NOT(Tasks[[#This Row],[_IsLeaf]]=1),Tasks[[#This Row],[_Res2Row]]=0),0,N(Tasks[[#This Row],[_Days]])*HoursPerDay*IF(Tasks[[#This Row],[_Res2Units]]="",DefaultUnits,Tasks[[#This Row],[_Res2Units]]))</f>
        <v>60</v>
      </c>
      <c r="DR15" s="42" t="n">
        <f aca="false">IF(AND(AND(Tasks[[#This Row],[_IsLeaf]]=1,Tasks[[#This Row],[_LeafTotalWork]]&gt;0),Tasks[[#This Row],[_Res2Work]]&gt;0),Tasks[[#This Row],[_Res2Work]]/(Tasks[[#This Row],[_FinishWorkday]]-Tasks[[#This Row],[_StartWorkday]]+1),0)</f>
        <v>3.75</v>
      </c>
      <c r="DS15" s="42" t="n">
        <f aca="false">Tasks[[#This Row],[_Res2WorkPerWD]]*MAX(0,Tasks[[#This Row],[_StartWorkday]]-1)</f>
        <v>82.5</v>
      </c>
      <c r="DT15" s="42" t="n">
        <f aca="false">Tasks[[#This Row],[_Res2Work]]*Tasks[[#This Row],[_LeafProgress]]</f>
        <v>51</v>
      </c>
      <c r="DU15" s="42" t="str">
        <f aca="false">IF(Tasks[[#This Row],[_Res3Text]]="","",IF(Tasks[[#This Row],[_Res3Row]]&gt;0,INDEX(res_Name,Tasks[[#This Row],[_Res3Row]]),TRIM(LEFT(Tasks[[#This Row],[_Res3Text]],FIND("[",Tasks[[#This Row],[_Res3Text]]&amp;"[")-1))))</f>
        <v/>
      </c>
      <c r="DV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 s="42" t="n">
        <f aca="false">IF(OR(NOT(Tasks[[#This Row],[_IsLeaf]]=1),Tasks[[#This Row],[_Res3Row]]=0),0,N(Tasks[[#This Row],[_Days]])*HoursPerDay*IF(Tasks[[#This Row],[_Res3Units]]="",DefaultUnits,Tasks[[#This Row],[_Res3Units]]))</f>
        <v>0</v>
      </c>
      <c r="DX15" s="42" t="n">
        <f aca="false">IF(AND(AND(Tasks[[#This Row],[_IsLeaf]]=1,Tasks[[#This Row],[_LeafTotalWork]]&gt;0),Tasks[[#This Row],[_Res3Work]]&gt;0),Tasks[[#This Row],[_Res3Work]]/(Tasks[[#This Row],[_FinishWorkday]]-Tasks[[#This Row],[_StartWorkday]]+1),0)</f>
        <v>0</v>
      </c>
      <c r="DY15" s="42" t="n">
        <f aca="false">Tasks[[#This Row],[_Res3WorkPerWD]]*MAX(0,Tasks[[#This Row],[_StartWorkday]]-1)</f>
        <v>0</v>
      </c>
      <c r="DZ15" s="42" t="n">
        <f aca="false">Tasks[[#This Row],[_Res3Work]]*Tasks[[#This Row],[_LeafProgress]]</f>
        <v>0</v>
      </c>
      <c r="EA15" s="42" t="str">
        <f aca="false">IF(Tasks[[#This Row],[_Res4Text]]="","",IF(Tasks[[#This Row],[_Res4Row]]&gt;0,INDEX(res_Name,Tasks[[#This Row],[_Res4Row]]),TRIM(LEFT(Tasks[[#This Row],[_Res4Text]],FIND("[",Tasks[[#This Row],[_Res4Text]]&amp;"[")-1))))</f>
        <v/>
      </c>
      <c r="EB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 s="42" t="n">
        <f aca="false">IF(OR(NOT(Tasks[[#This Row],[_IsLeaf]]=1),Tasks[[#This Row],[_Res4Row]]=0),0,N(Tasks[[#This Row],[_Days]])*HoursPerDay*IF(Tasks[[#This Row],[_Res4Units]]="",DefaultUnits,Tasks[[#This Row],[_Res4Units]]))</f>
        <v>0</v>
      </c>
      <c r="ED15" s="42" t="n">
        <f aca="false">IF(AND(AND(Tasks[[#This Row],[_IsLeaf]]=1,Tasks[[#This Row],[_LeafTotalWork]]&gt;0),Tasks[[#This Row],[_Res4Work]]&gt;0),Tasks[[#This Row],[_Res4Work]]/(Tasks[[#This Row],[_FinishWorkday]]-Tasks[[#This Row],[_StartWorkday]]+1),0)</f>
        <v>0</v>
      </c>
      <c r="EE15" s="42" t="n">
        <f aca="false">Tasks[[#This Row],[_Res4WorkPerWD]]*MAX(0,Tasks[[#This Row],[_StartWorkday]]-1)</f>
        <v>0</v>
      </c>
      <c r="EF15" s="42" t="n">
        <f aca="false">Tasks[[#This Row],[_Res4Work]]*Tasks[[#This Row],[_LeafProgress]]</f>
        <v>0</v>
      </c>
      <c r="EG15" s="92" t="n">
        <f aca="false">IF(ISNUMBER(Tasks[[#This Row],[% Complete]]),Tasks[[#This Row],[% Complete]],IF(Tasks[[#This Row],[Stage]]="",0,IFERROR(INDEX(stg_Pct,MATCH(Tasks[[#This Row],[Stage]],stg_Name,0)),0)))</f>
        <v>0.85</v>
      </c>
      <c r="EH15" s="42" t="n">
        <f aca="false">IF(NOT(Tasks[[#This Row],[_IsLeaf]]=1),0,IF(N(Tasks[[#This Row],[Actual Finish]])&gt;0,1,MIN(1,Tasks[[#This Row],[_Pct]])))</f>
        <v>0.85</v>
      </c>
      <c r="EI15" s="42" t="n">
        <f aca="false">IF(OR(NOT(Tasks[[#This Row],[_IsLeaf]]=1),Tasks[[#This Row],[_Res1Row]]=0),0,N(Tasks[[#This Row],[_Days]])*HoursPerDay*IF(Tasks[[#This Row],[_Units1]]="",DefaultUnits,Tasks[[#This Row],[_Units1]]))</f>
        <v>120</v>
      </c>
      <c r="EJ15" s="42" t="n">
        <f aca="false">Tasks[[#This Row],[_LeafWork]]+Tasks[[#This Row],[_Res2Work]]+Tasks[[#This Row],[_Res3Work]]+Tasks[[#This Row],[_Res4Work]]</f>
        <v>180</v>
      </c>
      <c r="EK15"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 s="42" t="n">
        <f aca="false">IF(NOT(Tasks[[#This Row],[_IsLeaf]]=1),0,MAX(_xlfn.MAXIFS(Tasks[_Row],Tasks[_Pred1UID],Tasks[[#This Row],[UID]]),_xlfn.MAXIFS(Tasks[_Row],Tasks[_Pred2UID],Tasks[[#This Row],[UID]]),_xlfn.MAXIFS(Tasks[_Row],Tasks[_Pred3UID],Tasks[[#This Row],[UID]]),_xlfn.MAXIFS(Tasks[_Row],Tasks[_Pred4UID],Tasks[[#This Row],[UID]])))</f>
        <v>11</v>
      </c>
      <c r="ET15"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EU15"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EV15" s="89" t="n">
        <f aca="false">IF(NOT(Tasks[[#This Row],[_IsLeaf]]=1),"",IF(N(Tasks[[#This Row],[_Days]])&lt;=0,Tasks[[#This Row],[_LeafLateFinish]],WORKDAY.INTL(Tasks[[#This Row],[_LeafLateFinish]],-(Tasks[[#This Row],[_Days]]-1),WorkWeek,Holidays)))</f>
        <v>46303</v>
      </c>
      <c r="EW15"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5" s="88" t="b">
        <f aca="false">AND(Tasks[[#This Row],[_IsLeaf]]=1,Tasks[[#This Row],[_LeafProgress]]&lt;1,N(Tasks[[#This Row],[_LeafTotalSlack]])&lt;=CriticalSlackDays)</f>
        <v>1</v>
      </c>
      <c r="EY15" s="42" t="n">
        <f aca="false">IF(AND(Tasks[[#This Row],[_IsLeaf]]=1,Tasks[[#This Row],[_ConstraintCode]]=1,Tasks[[#This Row],[Mode]]&lt;&gt;"Manual",N(Tasks[[#This Row],[Actual Start]])=0),MAX(0,N(Tasks[[#This Row],[Free Slack]])),0)</f>
        <v>0</v>
      </c>
      <c r="EZ15" s="89" t="n">
        <f aca="false">IF(NOT(Tasks[[#This Row],[_IsLeaf]]=1),"",IF(Tasks[[#This Row],[_AlapShift]]=0,Tasks[[#This Row],[_LeafCalcStart]],WORKDAY.INTL(Tasks[[#This Row],[_LeafCalcStart]],Tasks[[#This Row],[_AlapShift]],WorkWeek,Holidays)))</f>
        <v>46297</v>
      </c>
      <c r="FA15" s="89" t="n">
        <f aca="false">IF(NOT(Tasks[[#This Row],[_IsLeaf]]=1),"",IF(Tasks[[#This Row],[_AlapShift]]=0,Tasks[[#This Row],[_LeafCalcFinish]],WORKDAY.INTL(Tasks[[#This Row],[_LeafCalcFinish]],Tasks[[#This Row],[_AlapShift]],WorkWeek,Holidays)))</f>
        <v>46317</v>
      </c>
      <c r="FB15" s="89" t="n">
        <f aca="false">IF(NOT(Tasks[[#This Row],[_IsLeaf]]=1),"",IF(Tasks[[#This Row],[_AlapShift]]=0,Tasks[[#This Row],[_LeafFcstStart]],WORKDAY.INTL(Tasks[[#This Row],[_LeafFcstStart]],Tasks[[#This Row],[_AlapShift]],WorkWeek,Holidays)))</f>
        <v>46302</v>
      </c>
      <c r="FC15" s="89" t="n">
        <f aca="false">IF(NOT(Tasks[[#This Row],[_IsLeaf]]=1),"",IF(Tasks[[#This Row],[_AlapShift]]=0,Tasks[[#This Row],[_LeafFcstFinish]],WORKDAY.INTL(Tasks[[#This Row],[_LeafFcstFinish]],Tasks[[#This Row],[_AlapShift]],WorkWeek,Holidays)))</f>
        <v>46323</v>
      </c>
      <c r="FD15" s="89" t="n">
        <f aca="false">IF(Tasks[[#This Row],[Task Name]]="","",IF(Tasks[[#This Row],[_IsSummary]],MIN(INDEX(Tasks[_ShownCalcStart],Tasks[[#This Row],[_Row]]+1):INDEX(Tasks[_ShownCalcStart],Tasks[[#This Row],[_Row]]+Tasks[[#This Row],[_Descendants]])),Tasks[[#This Row],[_ShownCalcStart]]))</f>
        <v>46297</v>
      </c>
      <c r="FE15" s="89" t="n">
        <f aca="false">IF(Tasks[[#This Row],[Task Name]]="","",IF(Tasks[[#This Row],[_IsSummary]],MAX(INDEX(Tasks[_ShownCalcFinish],Tasks[[#This Row],[_Row]]+1):INDEX(Tasks[_ShownCalcFinish],Tasks[[#This Row],[_Row]]+Tasks[[#This Row],[_Descendants]])),Tasks[[#This Row],[_ShownCalcFinish]]))</f>
        <v>46317</v>
      </c>
      <c r="FF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K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O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 s="42" t="n">
        <f aca="false">IF(AND(Tasks[[#This Row],[_IsLeaf]]=1,Tasks[[#This Row],[_LeafTotalWork]]&gt;0),NETWORKDAYS.INTL(ProjectStart,Tasks[[#This Row],[_ShownFcstStart]],WorkWeek,Holidays),0)</f>
        <v>23</v>
      </c>
      <c r="FS15" s="42" t="n">
        <f aca="false">IF(AND(Tasks[[#This Row],[_IsLeaf]]=1,Tasks[[#This Row],[_LeafTotalWork]]&gt;0),MAX(Tasks[[#This Row],[_StartWorkday]],NETWORKDAYS.INTL(ProjectStart,Tasks[[#This Row],[_ShownFcstFinish]],WorkWeek,Holidays)),0)</f>
        <v>38</v>
      </c>
      <c r="FT15" s="42" t="n">
        <f aca="false">IF(AND(Tasks[[#This Row],[_IsLeaf]]=1,Tasks[[#This Row],[_LeafTotalWork]]&gt;0),Tasks[[#This Row],[_LeafWork]]/(Tasks[[#This Row],[_FinishWorkday]]-Tasks[[#This Row],[_StartWorkday]]+1),0)</f>
        <v>7.5</v>
      </c>
      <c r="FU15" s="42" t="n">
        <f aca="false">Tasks[[#This Row],[_WorkPerWorkday]]*(Tasks[[#This Row],[_StartWorkday]]-1)</f>
        <v>165</v>
      </c>
      <c r="FV15" s="42" t="n">
        <f aca="false">IF(Tasks[[#This Row],[_IsLeaf]]=1,MAX(N(Tasks[[#This Row],[_Days]]),0.1),0)</f>
        <v>15</v>
      </c>
      <c r="FW15" s="42" t="n">
        <f aca="false">Tasks[[#This Row],[_WeightDur]]*Tasks[[#This Row],[_LeafProgress]]</f>
        <v>12.75</v>
      </c>
      <c r="FX15" s="42" t="n">
        <f aca="false">Tasks[[#This Row],[_WeightDur]]*Tasks[[#This Row],[_PlannedPct]]</f>
        <v>15</v>
      </c>
      <c r="FY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Z15" s="42" t="str">
        <f aca="false">IF(AND(Tasks[[#This Row],[_IsLeaf]]=1,N(Tasks[[#This Row],[_Days]])=0,Tasks[[#This Row],[_LeafProgress]]&lt;1),Tasks[[#This Row],[_ShownFcstFinish]]+Tasks[[#This Row],[_Row]]/100000,"")</f>
        <v/>
      </c>
      <c r="GA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5" s="42" t="str">
        <f aca="false">IF(Tasks[[#This Row],[Task Name]]="","",LEFT(Tasks[[#This Row],[WBS]],FIND(".",Tasks[[#This Row],[WBS]]&amp;".")-1))</f>
        <v>3</v>
      </c>
      <c r="GC15" s="42" t="str">
        <f aca="false">IF(AND(Tasks[[#This Row],[Task Name]]&lt;&gt;"",Tasks[[#This Row],[_Level]]=1),Tasks[[#This Row],[_Row]],"")</f>
        <v/>
      </c>
      <c r="GD15" s="42" t="str">
        <f aca="false">IF(AND(Tasks[[#This Row],[_IsLeaf]]=1,N(Tasks[[#This Row],[_Days]])=0),Tasks[[#This Row],[Planned Finish]]+Tasks[[#This Row],[_Row]]/100000,"")</f>
        <v/>
      </c>
      <c r="GE15" s="42" t="n">
        <f aca="false">IF(AND(Tasks[[#This Row],[_IsLeaf]]=1,Tasks[[#This Row],[_LeafProgress]]&lt;1,OR(N(Tasks[[#This Row],[Finish Var]])&gt;0,Tasks[[#This Row],[Status]]="Late Start")),MAX(0,Tasks[[#This Row],[Finish Var]])+1-Tasks[[#This Row],[_Row]]/1000000,"")</f>
        <v>4.99999</v>
      </c>
      <c r="GF15" s="42" t="str">
        <f aca="false">IF(AND(Tasks[[#This Row],[_IsLeaf]]=1,N(Tasks[[#This Row],[Actual Start]])=0,Tasks[[#This Row],[_ShownFcstStart]]&gt;=StatusDate,Tasks[[#This Row],[_ShownFcstStart]]&lt;=LookaheadEnd),Tasks[[#This Row],[_ShownFcstStart]]+Tasks[[#This Row],[_Row]]/100000,"")</f>
        <v/>
      </c>
      <c r="GG15" s="93" t="n">
        <f aca="false">IF(AND(Tasks[[#This Row],[_IsLeaf]]=1,Tasks[[#This Row],[_LeafProgress]]&lt;1,Tasks[[#This Row],[_ShownFcstFinish]]&gt;=StatusDate,Tasks[[#This Row],[_ShownFcstFinish]]&lt;=LookaheadEnd),Tasks[[#This Row],[_ShownFcstFinish]]+Tasks[[#This Row],[_Row]]/100000,"")</f>
        <v>46323.0001</v>
      </c>
      <c r="GH15" s="93" t="n">
        <f aca="false">IF(Tasks[[#This Row],[_LeafCritical]],Tasks[[#This Row],[_ShownFcstStart]]+Tasks[[#This Row],[_Row]]/100000,"")</f>
        <v>46302.0001</v>
      </c>
      <c r="GI15" s="42" t="n">
        <f aca="false">Tasks[[#This Row],[_LeafWork]]*Tasks[[#This Row],[_LeafProgress]]</f>
        <v>102</v>
      </c>
      <c r="GJ15" s="89" t="str">
        <f aca="false">IF(AND(Tasks[[#This Row],[_IsLeaf]]=1,Tasks[[#This Row],[_LeafProgress]]&gt;=1),IF(N(Tasks[[#This Row],[Actual Finish]])&gt;0,Tasks[[#This Row],[Actual Finish]],Tasks[[#This Row],[_ShownFcstFinish]]),"")</f>
        <v/>
      </c>
      <c r="GK15" s="42" t="n">
        <f aca="false">IF(Tasks[[#This Row],[_IsLeaf]]=1,N(Tasks[[#This Row],[Story Points]]),0)</f>
        <v>0</v>
      </c>
      <c r="GL15" s="42" t="str">
        <f aca="false">""</f>
        <v/>
      </c>
      <c r="GM15" s="88" t="b">
        <f aca="false">IF(Tasks[[#This Row],[Task Name]]="",FALSE(),AND(Tasks[[#This Row],[_IsLeaf]]=1,N(Tasks[[#This Row],[_Days]])=0))</f>
        <v>0</v>
      </c>
      <c r="GN15" s="89" t="n">
        <f aca="false">IF(Tasks[[#This Row],[Task Name]]="",0,IF(AND(Tasks[[#This Row],[_IsLeaf]]=1,NOT(Tasks[[#This Row],[_IsMilestone]]),N(Tasks[[#This Row],[Progress]])&gt;0),Tasks[[#This Row],[Start]],0))</f>
        <v>46302</v>
      </c>
      <c r="GO15" s="89" t="n">
        <f aca="false">IF(Tasks[[#This Row],[_DoneFrom]]=0,0,IF(Tasks[[#This Row],[Progress]]&gt;=1,Tasks[[#This Row],[Finish]],MAX(Tasks[[#This Row],[_DoneFrom]],Tasks[[#This Row],[Start]]+ROUND((Tasks[[#This Row],[Finish]]-Tasks[[#This Row],[Start]]+1)*Tasks[[#This Row],[Progress]],0)-1)))</f>
        <v>46320</v>
      </c>
      <c r="GP15" s="89" t="n">
        <f aca="false">IF(Tasks[[#This Row],[Task Name]]="",0,IF(OR(NOT(Tasks[[#This Row],[_IsLeaf]]=1),Tasks[[#This Row],[_IsMilestone]],N(Tasks[[#This Row],[Progress]])&gt;=1),0,IF(Tasks[[#This Row],[_DoneTo]]&gt;0,Tasks[[#This Row],[_DoneTo]]+1,Tasks[[#This Row],[Start]])))</f>
        <v>46321</v>
      </c>
      <c r="GQ15" s="89" t="n">
        <f aca="false">IF(Tasks[[#This Row],[_RemFrom]]=0,0,Tasks[[#This Row],[Finish]])</f>
        <v>46323</v>
      </c>
      <c r="GR15" s="88" t="b">
        <f aca="false">IF(Tasks[[#This Row],[Task Name]]="",FALSE(),OR(NOT(BaselineSet),N(Tasks[[#This Row],[Baseline Start]])&gt;0))</f>
        <v>1</v>
      </c>
      <c r="GS15"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GT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GU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GV15" s="90" t="n">
        <f aca="false">IF(Tasks[[#This Row],[_IsLeaf]]=1,Tasks[[#This Row],[_Row]],"")</f>
        <v>10</v>
      </c>
      <c r="GW15" s="90" t="str">
        <f aca="false">IFERROR(INDEX(Tasks[UID],SMALL(Tasks[_PickKey],Tasks[[#This Row],[_Row]]))&amp;" "&amp;INDEX(Tasks[Task Name],SMALL(Tasks[_PickKey],Tasks[[#This Row],[_Row]])),"")</f>
        <v/>
      </c>
      <c r="GX15" s="42" t="n">
        <f aca="false">IF(Tasks[[#This Row],[Task Name]]="","",IF(Tasks[[#This Row],[_IsSummary]],NETWORKDAYS.INTL(Tasks[[#This Row],[Start]],Tasks[[#This Row],[Finish]],WorkWeek,Holidays),N(Tasks[[#This Row],[_Days]])))</f>
        <v>15</v>
      </c>
    </row>
    <row r="16" customFormat="false" ht="15" hidden="false" customHeight="false" outlineLevel="1" collapsed="false">
      <c r="A16" s="21" t="n">
        <f aca="false">IF(Tasks[[#This Row],[Task Name]]="","",COUNTA(Tasks[[#Headers],[Task Name]]:Tasks[[#This Row],[Task Name]])-1)</f>
        <v>11</v>
      </c>
      <c r="B16" s="22" t="n">
        <v>24</v>
      </c>
      <c r="C16" s="22" t="n">
        <v>2</v>
      </c>
      <c r="D16" s="91" t="s">
        <v>627</v>
      </c>
      <c r="E16" s="22" t="n">
        <v>1</v>
      </c>
      <c r="F16" s="23" t="n">
        <v>21</v>
      </c>
      <c r="G16" s="22"/>
      <c r="H16" s="22"/>
      <c r="I16" s="23"/>
      <c r="J16" s="22"/>
      <c r="K16" s="22"/>
      <c r="L16" s="23"/>
      <c r="M16" s="22"/>
      <c r="N16" s="22"/>
      <c r="O16" s="23"/>
      <c r="P16" s="22"/>
      <c r="Q16" s="22"/>
      <c r="R16" s="23"/>
      <c r="S16" s="23" t="s">
        <v>6</v>
      </c>
      <c r="T16" s="83"/>
      <c r="U16" s="23"/>
      <c r="V16" s="83"/>
      <c r="W16" s="23"/>
      <c r="X16" s="83"/>
      <c r="Y16" s="23"/>
      <c r="Z16" s="83"/>
      <c r="AA16" s="23"/>
      <c r="AB16" s="23"/>
      <c r="AC16" s="7"/>
      <c r="AD16" s="7"/>
      <c r="AE16" s="62" t="n">
        <f aca="false">IF(Tasks[[#This Row],[Task Name]]="","",IF(Tasks[[#This Row],[_IsSummary]],MIN(INDEX(Tasks[_ShownFcstStart],Tasks[[#This Row],[_Row]]+1):INDEX(Tasks[_ShownFcstStart],Tasks[[#This Row],[_Row]]+Tasks[[#This Row],[_Descendants]])),Tasks[[#This Row],[_ShownFcstStart]]))</f>
        <v>46324</v>
      </c>
      <c r="AF16" s="62" t="n">
        <f aca="false">IF(Tasks[[#This Row],[Task Name]]="","",IF(Tasks[[#This Row],[_IsSummary]],MAX(INDEX(Tasks[_ShownFcstFinish],Tasks[[#This Row],[_Row]]+1):INDEX(Tasks[_ShownFcstFinish],Tasks[[#This Row],[_Row]]+Tasks[[#This Row],[_Descendants]])),Tasks[[#This Row],[_ShownFcstFinish]]))</f>
        <v>46324</v>
      </c>
      <c r="AG16" s="21" t="str">
        <f aca="false">""</f>
        <v/>
      </c>
      <c r="AH16" s="23" t="s">
        <v>628</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 s="7"/>
      <c r="AK16" s="22" t="s">
        <v>235</v>
      </c>
      <c r="AL16" s="23"/>
      <c r="AM16" s="7"/>
      <c r="AN16" s="46"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2" t="n">
        <f aca="false">IF(Tasks[[#This Row],[Task Name]]="","",IF(N(Tasks[[#This Row],[Baseline Start]])&gt;0,Tasks[[#This Row],[Baseline Start]],Tasks[[#This Row],[_CalcStart]]))</f>
        <v>46318</v>
      </c>
      <c r="AR16" s="62" t="n">
        <f aca="false">IF(Tasks[[#This Row],[Task Name]]="","",IF(N(Tasks[[#This Row],[Baseline Finish]])&gt;0,Tasks[[#This Row],[Baseline Finish]],Tasks[[#This Row],[_CalcFinish]]))</f>
        <v>46318</v>
      </c>
      <c r="AS16" s="46" t="n">
        <f aca="false">IF(Tasks[[#This Row],[Task Name]]="","",IF(Tasks[[#This Row],[Start]]&gt;=Tasks[[#This Row],[Planned Start]],NETWORKDAYS.INTL(Tasks[[#This Row],[Planned Start]],Tasks[[#This Row],[Start]],WorkWeek,Holidays)-1,1-NETWORKDAYS.INTL(Tasks[[#This Row],[Start]],Tasks[[#This Row],[Planned Start]],WorkWeek,Holidays)))</f>
        <v>4</v>
      </c>
      <c r="AT16" s="62" t="n">
        <f aca="false">IF(Tasks[[#This Row],[Task Name]]="","",IF(Tasks[[#This Row],[_IsSummary]],MIN(INDEX(Tasks[_LeafLateStart],Tasks[[#This Row],[_Row]]+1):INDEX(Tasks[_LeafLateStart],Tasks[[#This Row],[_Row]]+Tasks[[#This Row],[_Descendants]])),Tasks[[#This Row],[_LeafLateStart]]))</f>
        <v>46324</v>
      </c>
      <c r="AU16" s="62" t="n">
        <f aca="false">IF(Tasks[[#This Row],[Task Name]]="","",IF(Tasks[[#This Row],[_IsSummary]],MAX(INDEX(Tasks[_LeafLateFinish],Tasks[[#This Row],[_Row]]+1):INDEX(Tasks[_LeafLateFinish],Tasks[[#This Row],[_Row]]+Tasks[[#This Row],[_Descendants]])),Tasks[[#This Row],[_LeafLateFinish]]))</f>
        <v>46324</v>
      </c>
      <c r="AV16" s="46"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4"/>
      <c r="BA1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5"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6"/>
      <c r="BJ16" s="22"/>
      <c r="BK16" s="46" t="n">
        <f aca="false">IF(OR(Tasks[[#This Row],[Task Name]]="",Tasks[[#This Row],[Baseline Duration]]=""),"",Tasks[[#This Row],[_SpanDays]]-N(Tasks[[#This Row],[Baseline Duration]]))</f>
        <v>0</v>
      </c>
      <c r="BL16" s="85" t="n">
        <f aca="false">IF(OR(Tasks[[#This Row],[Task Name]]="",Tasks[[#This Row],[Baseline Work]]=""),"",Tasks[[#This Row],[Work]]-N(Tasks[[#This Row],[Baseline Work]]))</f>
        <v>0</v>
      </c>
      <c r="BM16" s="62" t="n">
        <f aca="false">IF(Tasks[[#This Row],[Task Name]]="","",IF(OR(TakeBaseline="Yes",N(Tasks[[#This Row],[Baseline Start]])=0),Tasks[[#This Row],[Start]],Tasks[[#This Row],[Baseline Start]]))</f>
        <v>46318</v>
      </c>
      <c r="BN16" s="62"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5" t="n">
        <f aca="false">IF(Tasks[[#This Row],[Task Name]]="","",IF(OR(TakeBaseline="Yes",N(Tasks[[#This Row],[Baseline Work]])=0),Tasks[[#This Row],[Work]],Tasks[[#This Row],[Baseline Work]]))</f>
        <v>8</v>
      </c>
      <c r="BQ16" s="7" t="n">
        <v>46318</v>
      </c>
      <c r="BR16" s="7" t="n">
        <v>46318</v>
      </c>
      <c r="BS16" s="22" t="n">
        <v>1</v>
      </c>
      <c r="BT16" s="87" t="n">
        <v>8</v>
      </c>
      <c r="BU16" s="42" t="n">
        <f aca="false">IF(Tasks[[#This Row],[Task Name]]="","",MAX(1,N(Tasks[[#This Row],[Level]])))</f>
        <v>2</v>
      </c>
      <c r="BV16" s="42" t="n">
        <f aca="false">ROW()-ROW(Tasks[[#Headers],[ID]])</f>
        <v>11</v>
      </c>
      <c r="BW16" s="42" t="n">
        <f aca="false">IF(OR(Tasks[[#This Row],[Task Name]]="",Tasks[[#This Row],[_Level]]&lt;=1),0,IFERROR(LOOKUP(2,1/(Tasks[[#Headers],[_Level]]:Tasks[[#This Row],[_Level]]=Tasks[[#This Row],[_Level]]-1),ROW(Tasks[[#Headers],[_Level]]:Tasks[[#This Row],[_Level]])),0))</f>
        <v>14</v>
      </c>
      <c r="BX16" s="42" t="n">
        <f aca="false">IFERROR(N(INDEX(Tasks[_Level],Tasks[[#This Row],[_Row]]+1)),0)</f>
        <v>2</v>
      </c>
      <c r="BY16" s="88" t="b">
        <f aca="false">AND(Tasks[[#This Row],[Task Name]]&lt;&gt;"",Tasks[[#This Row],[_NextLevel]]&gt;Tasks[[#This Row],[_Level]])</f>
        <v>0</v>
      </c>
      <c r="BZ16" s="42" t="n">
        <f aca="false">IF(Tasks[[#This Row],[_IsSummary]],COUNTIF(Tasks[WBS],Tasks[[#This Row],[WBS]]&amp;".*"),0)</f>
        <v>0</v>
      </c>
      <c r="CA16" s="42" t="n">
        <f aca="false">IF(AND(Tasks[[#This Row],[Task Name]]&lt;&gt;"",NOT(Tasks[[#This Row],[_IsSummary]])),1,0)</f>
        <v>1</v>
      </c>
      <c r="CB16" s="42" t="n">
        <f aca="false">IF(N(Tasks[[#This Row],[_Pred1UID]])=0,0,IFERROR(MATCH(Tasks[[#This Row],[_Pred1UID]],Tasks[UID],0),-1))</f>
        <v>10</v>
      </c>
      <c r="CC16" s="42" t="n">
        <f aca="false">IF(N(Tasks[[#This Row],[_Pred2UID]])=0,0,IFERROR(MATCH(Tasks[[#This Row],[_Pred2UID]],Tasks[UID],0),-1))</f>
        <v>0</v>
      </c>
      <c r="CD16" s="42" t="n">
        <f aca="false">IF(N(Tasks[[#This Row],[_Pred3UID]])=0,0,IFERROR(MATCH(Tasks[[#This Row],[_Pred3UID]],Tasks[UID],0),-1))</f>
        <v>0</v>
      </c>
      <c r="CE16" s="42" t="n">
        <f aca="false">IF(N(Tasks[[#This Row],[_Pred4UID]])=0,0,IFERROR(MATCH(Tasks[[#This Row],[_Pred4UID]],Tasks[UID],0),-1))</f>
        <v>0</v>
      </c>
      <c r="CF16"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 s="89" t="n">
        <f aca="false">IF(OR(Tasks[[#This Row],[_ConstraintCode]]=2,Tasks[[#This Row],[_ConstraintCode]]=3,Tasks[[#This Row],[_ConstraintCode]]=4,Tasks[[#This Row],[_ConstraintCode]]=6),Tasks[[#This Row],[_ConstraintStart]],0)</f>
        <v>0</v>
      </c>
      <c r="CI16" s="89" t="n">
        <f aca="false">IF(OR(Tasks[[#This Row],[_ConstraintCode]]=2,Tasks[[#This Row],[_ConstraintCode]]=3,Tasks[[#This Row],[_ConstraintCode]]=5,Tasks[[#This Row],[_ConstraintCode]]=7),Tasks[[#This Row],[_ConstraintStart]],2958465)</f>
        <v>2958465</v>
      </c>
      <c r="CJ16"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6" s="89" t="n">
        <f aca="false">IF(NOT(Tasks[[#This Row],[_IsLeaf]]=1),"",IF(N(Tasks[[#This Row],[_Days]])&lt;=0,Tasks[[#This Row],[_LeafCalcStart]],WORKDAY.INTL(Tasks[[#This Row],[_LeafCalcStart]],Tasks[[#This Row],[_Days]]-1,WorkWeek,Holidays)))</f>
        <v>46318</v>
      </c>
      <c r="CL16"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6"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6" s="42" t="str">
        <f aca="false">IF(Tasks[[#This Row],[_Predecessors]]="","",TRIM(MID(SUBSTITUTE(SUBSTITUTE(SUBSTITUTE(UPPER(Tasks[[#This Row],[_Predecessors]]),";",",")," ",""),",",REPT(" ",99)),1,99)))</f>
        <v>21</v>
      </c>
      <c r="CO16" s="42" t="n">
        <f aca="false">IF(Tasks[[#This Row],[_Pred1Text]]="","",IFERROR(VALUE(LEFT(Tasks[[#This Row],[_Pred1Text]],MIN(FIND("F",Tasks[[#This Row],[_Pred1Text]]&amp;"F"),FIND("S",Tasks[[#This Row],[_Pred1Text]]&amp;"S"),FIND("+",Tasks[[#This Row],[_Pred1Text]]&amp;"+"),FIND("-",Tasks[[#This Row],[_Pred1Text]]&amp;"-"))-1)),""))</f>
        <v>21</v>
      </c>
      <c r="CP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6"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6" s="42" t="str">
        <f aca="false">IF(Tasks[[#This Row],[_Pred1Text]]="","",TRIM(MID(SUBSTITUTE(SUBSTITUTE(SUBSTITUTE(UPPER(Tasks[[#This Row],[_Predecessors]]),";",",")," ",""),",",REPT(" ",99)),100,99)))</f>
        <v/>
      </c>
      <c r="CS16" s="42" t="str">
        <f aca="false">IF(Tasks[[#This Row],[_Pred2Text]]="","",IFERROR(VALUE(LEFT(Tasks[[#This Row],[_Pred2Text]],MIN(FIND("F",Tasks[[#This Row],[_Pred2Text]]&amp;"F"),FIND("S",Tasks[[#This Row],[_Pred2Text]]&amp;"S"),FIND("+",Tasks[[#This Row],[_Pred2Text]]&amp;"+"),FIND("-",Tasks[[#This Row],[_Pred2Text]]&amp;"-"))-1)),""))</f>
        <v/>
      </c>
      <c r="CT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 s="42" t="str">
        <f aca="false">IF(Tasks[[#This Row],[_Pred2Text]]="","",TRIM(MID(SUBSTITUTE(SUBSTITUTE(SUBSTITUTE(UPPER(Tasks[[#This Row],[_Predecessors]]),";",",")," ",""),",",REPT(" ",99)),199,99)))</f>
        <v/>
      </c>
      <c r="CW16" s="42" t="str">
        <f aca="false">IF(Tasks[[#This Row],[_Pred3Text]]="","",IFERROR(VALUE(LEFT(Tasks[[#This Row],[_Pred3Text]],MIN(FIND("F",Tasks[[#This Row],[_Pred3Text]]&amp;"F"),FIND("S",Tasks[[#This Row],[_Pred3Text]]&amp;"S"),FIND("+",Tasks[[#This Row],[_Pred3Text]]&amp;"+"),FIND("-",Tasks[[#This Row],[_Pred3Text]]&amp;"-"))-1)),""))</f>
        <v/>
      </c>
      <c r="CX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 s="42" t="str">
        <f aca="false">IF(Tasks[[#This Row],[_Pred3Text]]="","",TRIM(MID(SUBSTITUTE(SUBSTITUTE(SUBSTITUTE(UPPER(Tasks[[#This Row],[_Predecessors]]),";",",")," ",""),",",REPT(" ",99)),298,99)))</f>
        <v/>
      </c>
      <c r="DA16" s="42" t="str">
        <f aca="false">IF(Tasks[[#This Row],[_Pred4Text]]="","",IFERROR(VALUE(LEFT(Tasks[[#This Row],[_Pred4Text]],MIN(FIND("F",Tasks[[#This Row],[_Pred4Text]]&amp;"F"),FIND("S",Tasks[[#This Row],[_Pred4Text]]&amp;"S"),FIND("+",Tasks[[#This Row],[_Pred4Text]]&amp;"+"),FIND("-",Tasks[[#This Row],[_Pred4Text]]&amp;"-"))-1)),""))</f>
        <v/>
      </c>
      <c r="DB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 s="42" t="str">
        <f aca="false">IF(OR(Tasks[[#This Row],[Task Name]]="",Tasks[[#This Row],[_Resources]]=""),"",TRIM(MID(SUBSTITUTE(Tasks[[#This Row],[_Resources]],",",REPT(" ",99)),1,99)))</f>
        <v>Priya Sharma</v>
      </c>
      <c r="DE16" s="42" t="str">
        <f aca="false">IF(Tasks[[#This Row],[_Res1Text]]="","",TRIM(MID(SUBSTITUTE(Tasks[[#This Row],[_Resources]],",",REPT(" ",99)),100,99)))</f>
        <v/>
      </c>
      <c r="DF16" s="42" t="str">
        <f aca="false">IF(Tasks[[#This Row],[_Res2Text]]="","",TRIM(MID(SUBSTITUTE(Tasks[[#This Row],[_Resources]],",",REPT(" ",99)),199,99)))</f>
        <v/>
      </c>
      <c r="DG16" s="42" t="str">
        <f aca="false">IF(Tasks[[#This Row],[_Res3Text]]="","",TRIM(MID(SUBSTITUTE(Tasks[[#This Row],[_Resources]],",",REPT(" ",99)),298,99)))</f>
        <v/>
      </c>
      <c r="DH16" s="42" t="n">
        <f aca="false">IF(Tasks[[#This Row],[_Res1Text]]="",0,IFERROR(MATCH(TRIM(LEFT(Tasks[[#This Row],[_Res1Text]],FIND("[",Tasks[[#This Row],[_Res1Text]]&amp;"[")-1)),res_Name,0),IFERROR(MATCH(TRIM(LEFT(Tasks[[#This Row],[_Res1Text]],FIND("[",Tasks[[#This Row],[_Res1Text]]&amp;"[")-1)),res_Initials,0),0)))</f>
        <v>1</v>
      </c>
      <c r="DI16" s="42" t="n">
        <f aca="false">IF(Tasks[[#This Row],[_Res2Text]]="",0,IFERROR(MATCH(TRIM(LEFT(Tasks[[#This Row],[_Res2Text]],FIND("[",Tasks[[#This Row],[_Res2Text]]&amp;"[")-1)),res_Name,0),IFERROR(MATCH(TRIM(LEFT(Tasks[[#This Row],[_Res2Text]],FIND("[",Tasks[[#This Row],[_Res2Text]]&amp;"[")-1)),res_Initials,0),0)))</f>
        <v>0</v>
      </c>
      <c r="DJ16" s="42" t="n">
        <f aca="false">IF(Tasks[[#This Row],[_Res3Text]]="",0,IFERROR(MATCH(TRIM(LEFT(Tasks[[#This Row],[_Res3Text]],FIND("[",Tasks[[#This Row],[_Res3Text]]&amp;"[")-1)),res_Name,0),IFERROR(MATCH(TRIM(LEFT(Tasks[[#This Row],[_Res3Text]],FIND("[",Tasks[[#This Row],[_Res3Text]]&amp;"[")-1)),res_Initials,0),0)))</f>
        <v>0</v>
      </c>
      <c r="DK16" s="42" t="n">
        <f aca="false">IF(Tasks[[#This Row],[_Res4Text]]="",0,IFERROR(MATCH(TRIM(LEFT(Tasks[[#This Row],[_Res4Text]],FIND("[",Tasks[[#This Row],[_Res4Text]]&amp;"[")-1)),res_Name,0),IFERROR(MATCH(TRIM(LEFT(Tasks[[#This Row],[_Res4Text]],FIND("[",Tasks[[#This Row],[_Res4Text]]&amp;"[")-1)),res_Initials,0),0)))</f>
        <v>0</v>
      </c>
      <c r="DL16" s="42" t="str">
        <f aca="false">IF(Tasks[[#This Row],[_Res1Text]]="","",IF(Tasks[[#This Row],[_Res1Row]]&gt;0,INDEX(res_Name,Tasks[[#This Row],[_Res1Row]]),TRIM(LEFT(Tasks[[#This Row],[_Res1Text]],FIND("[",Tasks[[#This Row],[_Res1Text]]&amp;"[")-1))))</f>
        <v>Priya Sharma</v>
      </c>
      <c r="DM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 s="42" t="n">
        <f aca="false">IF(NOT(Tasks[[#This Row],[_IsLeaf]]=1),0,(Tasks[[#This Row],[_Resource1]]&lt;&gt;"")+(Tasks[[#This Row],[_Res2]]&lt;&gt;"")+(Tasks[[#This Row],[_Res3]]&lt;&gt;"")+(Tasks[[#This Row],[_Res4]]&lt;&gt;""))</f>
        <v>1</v>
      </c>
      <c r="DO16" s="42" t="str">
        <f aca="false">IF(Tasks[[#This Row],[_Res2Text]]="","",IF(Tasks[[#This Row],[_Res2Row]]&gt;0,INDEX(res_Name,Tasks[[#This Row],[_Res2Row]]),TRIM(LEFT(Tasks[[#This Row],[_Res2Text]],FIND("[",Tasks[[#This Row],[_Res2Text]]&amp;"[")-1))))</f>
        <v/>
      </c>
      <c r="DP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 s="42" t="n">
        <f aca="false">IF(OR(NOT(Tasks[[#This Row],[_IsLeaf]]=1),Tasks[[#This Row],[_Res2Row]]=0),0,N(Tasks[[#This Row],[_Days]])*HoursPerDay*IF(Tasks[[#This Row],[_Res2Units]]="",DefaultUnits,Tasks[[#This Row],[_Res2Units]]))</f>
        <v>0</v>
      </c>
      <c r="DR16" s="42" t="n">
        <f aca="false">IF(AND(AND(Tasks[[#This Row],[_IsLeaf]]=1,Tasks[[#This Row],[_LeafTotalWork]]&gt;0),Tasks[[#This Row],[_Res2Work]]&gt;0),Tasks[[#This Row],[_Res2Work]]/(Tasks[[#This Row],[_FinishWorkday]]-Tasks[[#This Row],[_StartWorkday]]+1),0)</f>
        <v>0</v>
      </c>
      <c r="DS16" s="42" t="n">
        <f aca="false">Tasks[[#This Row],[_Res2WorkPerWD]]*MAX(0,Tasks[[#This Row],[_StartWorkday]]-1)</f>
        <v>0</v>
      </c>
      <c r="DT16" s="42" t="n">
        <f aca="false">Tasks[[#This Row],[_Res2Work]]*Tasks[[#This Row],[_LeafProgress]]</f>
        <v>0</v>
      </c>
      <c r="DU16" s="42" t="str">
        <f aca="false">IF(Tasks[[#This Row],[_Res3Text]]="","",IF(Tasks[[#This Row],[_Res3Row]]&gt;0,INDEX(res_Name,Tasks[[#This Row],[_Res3Row]]),TRIM(LEFT(Tasks[[#This Row],[_Res3Text]],FIND("[",Tasks[[#This Row],[_Res3Text]]&amp;"[")-1))))</f>
        <v/>
      </c>
      <c r="DV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 s="42" t="n">
        <f aca="false">IF(OR(NOT(Tasks[[#This Row],[_IsLeaf]]=1),Tasks[[#This Row],[_Res3Row]]=0),0,N(Tasks[[#This Row],[_Days]])*HoursPerDay*IF(Tasks[[#This Row],[_Res3Units]]="",DefaultUnits,Tasks[[#This Row],[_Res3Units]]))</f>
        <v>0</v>
      </c>
      <c r="DX16" s="42" t="n">
        <f aca="false">IF(AND(AND(Tasks[[#This Row],[_IsLeaf]]=1,Tasks[[#This Row],[_LeafTotalWork]]&gt;0),Tasks[[#This Row],[_Res3Work]]&gt;0),Tasks[[#This Row],[_Res3Work]]/(Tasks[[#This Row],[_FinishWorkday]]-Tasks[[#This Row],[_StartWorkday]]+1),0)</f>
        <v>0</v>
      </c>
      <c r="DY16" s="42" t="n">
        <f aca="false">Tasks[[#This Row],[_Res3WorkPerWD]]*MAX(0,Tasks[[#This Row],[_StartWorkday]]-1)</f>
        <v>0</v>
      </c>
      <c r="DZ16" s="42" t="n">
        <f aca="false">Tasks[[#This Row],[_Res3Work]]*Tasks[[#This Row],[_LeafProgress]]</f>
        <v>0</v>
      </c>
      <c r="EA16" s="42" t="str">
        <f aca="false">IF(Tasks[[#This Row],[_Res4Text]]="","",IF(Tasks[[#This Row],[_Res4Row]]&gt;0,INDEX(res_Name,Tasks[[#This Row],[_Res4Row]]),TRIM(LEFT(Tasks[[#This Row],[_Res4Text]],FIND("[",Tasks[[#This Row],[_Res4Text]]&amp;"[")-1))))</f>
        <v/>
      </c>
      <c r="EB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 s="42" t="n">
        <f aca="false">IF(OR(NOT(Tasks[[#This Row],[_IsLeaf]]=1),Tasks[[#This Row],[_Res4Row]]=0),0,N(Tasks[[#This Row],[_Days]])*HoursPerDay*IF(Tasks[[#This Row],[_Res4Units]]="",DefaultUnits,Tasks[[#This Row],[_Res4Units]]))</f>
        <v>0</v>
      </c>
      <c r="ED16" s="42" t="n">
        <f aca="false">IF(AND(AND(Tasks[[#This Row],[_IsLeaf]]=1,Tasks[[#This Row],[_LeafTotalWork]]&gt;0),Tasks[[#This Row],[_Res4Work]]&gt;0),Tasks[[#This Row],[_Res4Work]]/(Tasks[[#This Row],[_FinishWorkday]]-Tasks[[#This Row],[_StartWorkday]]+1),0)</f>
        <v>0</v>
      </c>
      <c r="EE16" s="42" t="n">
        <f aca="false">Tasks[[#This Row],[_Res4WorkPerWD]]*MAX(0,Tasks[[#This Row],[_StartWorkday]]-1)</f>
        <v>0</v>
      </c>
      <c r="EF16" s="42" t="n">
        <f aca="false">Tasks[[#This Row],[_Res4Work]]*Tasks[[#This Row],[_LeafProgress]]</f>
        <v>0</v>
      </c>
      <c r="EG16" s="42" t="n">
        <f aca="false">IF(ISNUMBER(Tasks[[#This Row],[% Complete]]),Tasks[[#This Row],[% Complete]],IF(Tasks[[#This Row],[Stage]]="",0,IFERROR(INDEX(stg_Pct,MATCH(Tasks[[#This Row],[Stage]],stg_Name,0)),0)))</f>
        <v>0</v>
      </c>
      <c r="EH16" s="42" t="n">
        <f aca="false">IF(NOT(Tasks[[#This Row],[_IsLeaf]]=1),0,IF(N(Tasks[[#This Row],[Actual Finish]])&gt;0,1,MIN(1,Tasks[[#This Row],[_Pct]])))</f>
        <v>0</v>
      </c>
      <c r="EI16" s="42" t="n">
        <f aca="false">IF(OR(NOT(Tasks[[#This Row],[_IsLeaf]]=1),Tasks[[#This Row],[_Res1Row]]=0),0,N(Tasks[[#This Row],[_Days]])*HoursPerDay*IF(Tasks[[#This Row],[_Units1]]="",DefaultUnits,Tasks[[#This Row],[_Units1]]))</f>
        <v>8</v>
      </c>
      <c r="EJ16" s="42" t="n">
        <f aca="false">Tasks[[#This Row],[_LeafWork]]+Tasks[[#This Row],[_Res2Work]]+Tasks[[#This Row],[_Res3Work]]+Tasks[[#This Row],[_Res4Work]]</f>
        <v>8</v>
      </c>
      <c r="EK16"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L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 s="42" t="n">
        <f aca="false">IF(NOT(Tasks[[#This Row],[_IsLeaf]]=1),0,MAX(_xlfn.MAXIFS(Tasks[_Row],Tasks[_Pred1UID],Tasks[[#This Row],[UID]]),_xlfn.MAXIFS(Tasks[_Row],Tasks[_Pred2UID],Tasks[[#This Row],[UID]]),_xlfn.MAXIFS(Tasks[_Row],Tasks[_Pred3UID],Tasks[[#This Row],[UID]]),_xlfn.MAXIFS(Tasks[_Row],Tasks[_Pred4UID],Tasks[[#This Row],[UID]])))</f>
        <v>12</v>
      </c>
      <c r="ET16"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U16"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6" s="89" t="n">
        <f aca="false">IF(NOT(Tasks[[#This Row],[_IsLeaf]]=1),"",IF(N(Tasks[[#This Row],[_Days]])&lt;=0,Tasks[[#This Row],[_LeafLateFinish]],WORKDAY.INTL(Tasks[[#This Row],[_LeafLateFinish]],-(Tasks[[#This Row],[_Days]]-1),WorkWeek,Holidays)))</f>
        <v>46324</v>
      </c>
      <c r="EW16"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6" s="88" t="b">
        <f aca="false">AND(Tasks[[#This Row],[_IsLeaf]]=1,Tasks[[#This Row],[_LeafProgress]]&lt;1,N(Tasks[[#This Row],[_LeafTotalSlack]])&lt;=CriticalSlackDays)</f>
        <v>1</v>
      </c>
      <c r="EY16" s="42" t="n">
        <f aca="false">IF(AND(Tasks[[#This Row],[_IsLeaf]]=1,Tasks[[#This Row],[_ConstraintCode]]=1,Tasks[[#This Row],[Mode]]&lt;&gt;"Manual",N(Tasks[[#This Row],[Actual Start]])=0),MAX(0,N(Tasks[[#This Row],[Free Slack]])),0)</f>
        <v>0</v>
      </c>
      <c r="EZ16" s="89" t="n">
        <f aca="false">IF(NOT(Tasks[[#This Row],[_IsLeaf]]=1),"",IF(Tasks[[#This Row],[_AlapShift]]=0,Tasks[[#This Row],[_LeafCalcStart]],WORKDAY.INTL(Tasks[[#This Row],[_LeafCalcStart]],Tasks[[#This Row],[_AlapShift]],WorkWeek,Holidays)))</f>
        <v>46318</v>
      </c>
      <c r="FA16" s="89" t="n">
        <f aca="false">IF(NOT(Tasks[[#This Row],[_IsLeaf]]=1),"",IF(Tasks[[#This Row],[_AlapShift]]=0,Tasks[[#This Row],[_LeafCalcFinish]],WORKDAY.INTL(Tasks[[#This Row],[_LeafCalcFinish]],Tasks[[#This Row],[_AlapShift]],WorkWeek,Holidays)))</f>
        <v>46318</v>
      </c>
      <c r="FB16" s="89" t="n">
        <f aca="false">IF(NOT(Tasks[[#This Row],[_IsLeaf]]=1),"",IF(Tasks[[#This Row],[_AlapShift]]=0,Tasks[[#This Row],[_LeafFcstStart]],WORKDAY.INTL(Tasks[[#This Row],[_LeafFcstStart]],Tasks[[#This Row],[_AlapShift]],WorkWeek,Holidays)))</f>
        <v>46324</v>
      </c>
      <c r="FC16" s="89" t="n">
        <f aca="false">IF(NOT(Tasks[[#This Row],[_IsLeaf]]=1),"",IF(Tasks[[#This Row],[_AlapShift]]=0,Tasks[[#This Row],[_LeafFcstFinish]],WORKDAY.INTL(Tasks[[#This Row],[_LeafFcstFinish]],Tasks[[#This Row],[_AlapShift]],WorkWeek,Holidays)))</f>
        <v>46324</v>
      </c>
      <c r="FD16" s="89" t="n">
        <f aca="false">IF(Tasks[[#This Row],[Task Name]]="","",IF(Tasks[[#This Row],[_IsSummary]],MIN(INDEX(Tasks[_ShownCalcStart],Tasks[[#This Row],[_Row]]+1):INDEX(Tasks[_ShownCalcStart],Tasks[[#This Row],[_Row]]+Tasks[[#This Row],[_Descendants]])),Tasks[[#This Row],[_ShownCalcStart]]))</f>
        <v>46318</v>
      </c>
      <c r="FE16" s="89" t="n">
        <f aca="false">IF(Tasks[[#This Row],[Task Name]]="","",IF(Tasks[[#This Row],[_IsSummary]],MAX(INDEX(Tasks[_ShownCalcFinish],Tasks[[#This Row],[_Row]]+1):INDEX(Tasks[_ShownCalcFinish],Tasks[[#This Row],[_Row]]+Tasks[[#This Row],[_Descendants]])),Tasks[[#This Row],[_ShownCalcFinish]]))</f>
        <v>46318</v>
      </c>
      <c r="FF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 s="42" t="n">
        <f aca="false">IF(AND(Tasks[[#This Row],[_IsLeaf]]=1,Tasks[[#This Row],[_LeafTotalWork]]&gt;0),NETWORKDAYS.INTL(ProjectStart,Tasks[[#This Row],[_ShownFcstStart]],WorkWeek,Holidays),0)</f>
        <v>39</v>
      </c>
      <c r="FS16" s="42" t="n">
        <f aca="false">IF(AND(Tasks[[#This Row],[_IsLeaf]]=1,Tasks[[#This Row],[_LeafTotalWork]]&gt;0),MAX(Tasks[[#This Row],[_StartWorkday]],NETWORKDAYS.INTL(ProjectStart,Tasks[[#This Row],[_ShownFcstFinish]],WorkWeek,Holidays)),0)</f>
        <v>39</v>
      </c>
      <c r="FT16" s="42" t="n">
        <f aca="false">IF(AND(Tasks[[#This Row],[_IsLeaf]]=1,Tasks[[#This Row],[_LeafTotalWork]]&gt;0),Tasks[[#This Row],[_LeafWork]]/(Tasks[[#This Row],[_FinishWorkday]]-Tasks[[#This Row],[_StartWorkday]]+1),0)</f>
        <v>8</v>
      </c>
      <c r="FU16" s="42" t="n">
        <f aca="false">Tasks[[#This Row],[_WorkPerWorkday]]*(Tasks[[#This Row],[_StartWorkday]]-1)</f>
        <v>304</v>
      </c>
      <c r="FV16" s="42" t="n">
        <f aca="false">IF(Tasks[[#This Row],[_IsLeaf]]=1,MAX(N(Tasks[[#This Row],[_Days]]),0.1),0)</f>
        <v>1</v>
      </c>
      <c r="FW16" s="42" t="n">
        <f aca="false">Tasks[[#This Row],[_WeightDur]]*Tasks[[#This Row],[_LeafProgress]]</f>
        <v>0</v>
      </c>
      <c r="FX16" s="42" t="n">
        <f aca="false">Tasks[[#This Row],[_WeightDur]]*Tasks[[#This Row],[_PlannedPct]]</f>
        <v>1</v>
      </c>
      <c r="FY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Z16" s="42" t="str">
        <f aca="false">IF(AND(Tasks[[#This Row],[_IsLeaf]]=1,N(Tasks[[#This Row],[_Days]])=0,Tasks[[#This Row],[_LeafProgress]]&lt;1),Tasks[[#This Row],[_ShownFcstFinish]]+Tasks[[#This Row],[_Row]]/100000,"")</f>
        <v/>
      </c>
      <c r="GA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6" s="42" t="str">
        <f aca="false">IF(Tasks[[#This Row],[Task Name]]="","",LEFT(Tasks[[#This Row],[WBS]],FIND(".",Tasks[[#This Row],[WBS]]&amp;".")-1))</f>
        <v>3</v>
      </c>
      <c r="GC16" s="42" t="str">
        <f aca="false">IF(AND(Tasks[[#This Row],[Task Name]]&lt;&gt;"",Tasks[[#This Row],[_Level]]=1),Tasks[[#This Row],[_Row]],"")</f>
        <v/>
      </c>
      <c r="GD16" s="42" t="str">
        <f aca="false">IF(AND(Tasks[[#This Row],[_IsLeaf]]=1,N(Tasks[[#This Row],[_Days]])=0),Tasks[[#This Row],[Planned Finish]]+Tasks[[#This Row],[_Row]]/100000,"")</f>
        <v/>
      </c>
      <c r="GE16" s="42" t="n">
        <f aca="false">IF(AND(Tasks[[#This Row],[_IsLeaf]]=1,Tasks[[#This Row],[_LeafProgress]]&lt;1,OR(N(Tasks[[#This Row],[Finish Var]])&gt;0,Tasks[[#This Row],[Status]]="Late Start")),MAX(0,Tasks[[#This Row],[Finish Var]])+1-Tasks[[#This Row],[_Row]]/1000000,"")</f>
        <v>4.999989</v>
      </c>
      <c r="GF16" s="93" t="n">
        <f aca="false">IF(AND(Tasks[[#This Row],[_IsLeaf]]=1,N(Tasks[[#This Row],[Actual Start]])=0,Tasks[[#This Row],[_ShownFcstStart]]&gt;=StatusDate,Tasks[[#This Row],[_ShownFcstStart]]&lt;=LookaheadEnd),Tasks[[#This Row],[_ShownFcstStart]]+Tasks[[#This Row],[_Row]]/100000,"")</f>
        <v>46324.00011</v>
      </c>
      <c r="GG16" s="93" t="n">
        <f aca="false">IF(AND(Tasks[[#This Row],[_IsLeaf]]=1,Tasks[[#This Row],[_LeafProgress]]&lt;1,Tasks[[#This Row],[_ShownFcstFinish]]&gt;=StatusDate,Tasks[[#This Row],[_ShownFcstFinish]]&lt;=LookaheadEnd),Tasks[[#This Row],[_ShownFcstFinish]]+Tasks[[#This Row],[_Row]]/100000,"")</f>
        <v>46324.00011</v>
      </c>
      <c r="GH16" s="93" t="n">
        <f aca="false">IF(Tasks[[#This Row],[_LeafCritical]],Tasks[[#This Row],[_ShownFcstStart]]+Tasks[[#This Row],[_Row]]/100000,"")</f>
        <v>46324.00011</v>
      </c>
      <c r="GI16" s="42" t="n">
        <f aca="false">Tasks[[#This Row],[_LeafWork]]*Tasks[[#This Row],[_LeafProgress]]</f>
        <v>0</v>
      </c>
      <c r="GJ16" s="89" t="str">
        <f aca="false">IF(AND(Tasks[[#This Row],[_IsLeaf]]=1,Tasks[[#This Row],[_LeafProgress]]&gt;=1),IF(N(Tasks[[#This Row],[Actual Finish]])&gt;0,Tasks[[#This Row],[Actual Finish]],Tasks[[#This Row],[_ShownFcstFinish]]),"")</f>
        <v/>
      </c>
      <c r="GK16" s="42" t="n">
        <f aca="false">IF(Tasks[[#This Row],[_IsLeaf]]=1,N(Tasks[[#This Row],[Story Points]]),0)</f>
        <v>0</v>
      </c>
      <c r="GL16" s="42" t="str">
        <f aca="false">""</f>
        <v/>
      </c>
      <c r="GM16" s="88" t="b">
        <f aca="false">IF(Tasks[[#This Row],[Task Name]]="",FALSE(),AND(Tasks[[#This Row],[_IsLeaf]]=1,N(Tasks[[#This Row],[_Days]])=0))</f>
        <v>0</v>
      </c>
      <c r="GN16" s="89" t="n">
        <f aca="false">IF(Tasks[[#This Row],[Task Name]]="",0,IF(AND(Tasks[[#This Row],[_IsLeaf]]=1,NOT(Tasks[[#This Row],[_IsMilestone]]),N(Tasks[[#This Row],[Progress]])&gt;0),Tasks[[#This Row],[Start]],0))</f>
        <v>0</v>
      </c>
      <c r="GO16" s="89" t="n">
        <f aca="false">IF(Tasks[[#This Row],[_DoneFrom]]=0,0,IF(Tasks[[#This Row],[Progress]]&gt;=1,Tasks[[#This Row],[Finish]],MAX(Tasks[[#This Row],[_DoneFrom]],Tasks[[#This Row],[Start]]+ROUND((Tasks[[#This Row],[Finish]]-Tasks[[#This Row],[Start]]+1)*Tasks[[#This Row],[Progress]],0)-1)))</f>
        <v>0</v>
      </c>
      <c r="GP16" s="89" t="n">
        <f aca="false">IF(Tasks[[#This Row],[Task Name]]="",0,IF(OR(NOT(Tasks[[#This Row],[_IsLeaf]]=1),Tasks[[#This Row],[_IsMilestone]],N(Tasks[[#This Row],[Progress]])&gt;=1),0,IF(Tasks[[#This Row],[_DoneTo]]&gt;0,Tasks[[#This Row],[_DoneTo]]+1,Tasks[[#This Row],[Start]])))</f>
        <v>46324</v>
      </c>
      <c r="GQ16" s="89" t="n">
        <f aca="false">IF(Tasks[[#This Row],[_RemFrom]]=0,0,Tasks[[#This Row],[Finish]])</f>
        <v>46324</v>
      </c>
      <c r="GR16" s="88" t="b">
        <f aca="false">IF(Tasks[[#This Row],[Task Name]]="",FALSE(),OR(NOT(BaselineSet),N(Tasks[[#This Row],[Baseline Start]])&gt;0))</f>
        <v>1</v>
      </c>
      <c r="GS16"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GT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GU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16" s="90" t="n">
        <f aca="false">IF(Tasks[[#This Row],[_IsLeaf]]=1,Tasks[[#This Row],[_Row]],"")</f>
        <v>11</v>
      </c>
      <c r="GW16" s="90" t="str">
        <f aca="false">IFERROR(INDEX(Tasks[UID],SMALL(Tasks[_PickKey],Tasks[[#This Row],[_Row]]))&amp;" "&amp;INDEX(Tasks[Task Name],SMALL(Tasks[_PickKey],Tasks[[#This Row],[_Row]])),"")</f>
        <v/>
      </c>
      <c r="GX16" s="42" t="n">
        <f aca="false">IF(Tasks[[#This Row],[Task Name]]="","",IF(Tasks[[#This Row],[_IsSummary]],NETWORKDAYS.INTL(Tasks[[#This Row],[Start]],Tasks[[#This Row],[Finish]],WorkWeek,Holidays),N(Tasks[[#This Row],[_Days]])))</f>
        <v>1</v>
      </c>
    </row>
    <row r="17" customFormat="false" ht="15" hidden="false" customHeight="false" outlineLevel="1" collapsed="false">
      <c r="A17" s="21" t="n">
        <f aca="false">IF(Tasks[[#This Row],[Task Name]]="","",COUNTA(Tasks[[#Headers],[Task Name]]:Tasks[[#This Row],[Task Name]])-1)</f>
        <v>12</v>
      </c>
      <c r="B17" s="22" t="n">
        <v>25</v>
      </c>
      <c r="C17" s="22" t="n">
        <v>2</v>
      </c>
      <c r="D17" s="91" t="s">
        <v>629</v>
      </c>
      <c r="E17" s="22" t="n">
        <v>0</v>
      </c>
      <c r="F17" s="23" t="n">
        <v>24</v>
      </c>
      <c r="G17" s="22"/>
      <c r="H17" s="22"/>
      <c r="I17" s="23"/>
      <c r="J17" s="22"/>
      <c r="K17" s="22"/>
      <c r="L17" s="23"/>
      <c r="M17" s="22"/>
      <c r="N17" s="22"/>
      <c r="O17" s="23"/>
      <c r="P17" s="22"/>
      <c r="Q17" s="22"/>
      <c r="R17" s="23"/>
      <c r="S17" s="23"/>
      <c r="T17" s="83"/>
      <c r="U17" s="23"/>
      <c r="V17" s="83"/>
      <c r="W17" s="23"/>
      <c r="X17" s="83"/>
      <c r="Y17" s="23"/>
      <c r="Z17" s="83"/>
      <c r="AA17" s="23"/>
      <c r="AB17" s="23"/>
      <c r="AC17" s="7"/>
      <c r="AD17" s="7"/>
      <c r="AE17" s="62" t="n">
        <f aca="false">IF(Tasks[[#This Row],[Task Name]]="","",IF(Tasks[[#This Row],[_IsSummary]],MIN(INDEX(Tasks[_ShownFcstStart],Tasks[[#This Row],[_Row]]+1):INDEX(Tasks[_ShownFcstStart],Tasks[[#This Row],[_Row]]+Tasks[[#This Row],[_Descendants]])),Tasks[[#This Row],[_ShownFcstStart]]))</f>
        <v>46324</v>
      </c>
      <c r="AF17" s="62" t="n">
        <f aca="false">IF(Tasks[[#This Row],[Task Name]]="","",IF(Tasks[[#This Row],[_IsSummary]],MAX(INDEX(Tasks[_ShownFcstFinish],Tasks[[#This Row],[_Row]]+1):INDEX(Tasks[_ShownFcstFinish],Tasks[[#This Row],[_Row]]+Tasks[[#This Row],[_Descendants]])),Tasks[[#This Row],[_ShownFcstFinish]]))</f>
        <v>46324</v>
      </c>
      <c r="AG17" s="21" t="str">
        <f aca="false">""</f>
        <v/>
      </c>
      <c r="AH17" s="23" t="s">
        <v>630</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 s="7" t="n">
        <v>46374</v>
      </c>
      <c r="AK17" s="22" t="s">
        <v>235</v>
      </c>
      <c r="AL17" s="23"/>
      <c r="AM17" s="7"/>
      <c r="AN17" s="46"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2" t="n">
        <f aca="false">IF(Tasks[[#This Row],[Task Name]]="","",IF(N(Tasks[[#This Row],[Baseline Start]])&gt;0,Tasks[[#This Row],[Baseline Start]],Tasks[[#This Row],[_CalcStart]]))</f>
        <v>46318</v>
      </c>
      <c r="AR17" s="62" t="n">
        <f aca="false">IF(Tasks[[#This Row],[Task Name]]="","",IF(N(Tasks[[#This Row],[Baseline Finish]])&gt;0,Tasks[[#This Row],[Baseline Finish]],Tasks[[#This Row],[_CalcFinish]]))</f>
        <v>46318</v>
      </c>
      <c r="AS17" s="46" t="n">
        <f aca="false">IF(Tasks[[#This Row],[Task Name]]="","",IF(Tasks[[#This Row],[Start]]&gt;=Tasks[[#This Row],[Planned Start]],NETWORKDAYS.INTL(Tasks[[#This Row],[Planned Start]],Tasks[[#This Row],[Start]],WorkWeek,Holidays)-1,1-NETWORKDAYS.INTL(Tasks[[#This Row],[Start]],Tasks[[#This Row],[Planned Start]],WorkWeek,Holidays)))</f>
        <v>4</v>
      </c>
      <c r="AT17" s="62" t="n">
        <f aca="false">IF(Tasks[[#This Row],[Task Name]]="","",IF(Tasks[[#This Row],[_IsSummary]],MIN(INDEX(Tasks[_LeafLateStart],Tasks[[#This Row],[_Row]]+1):INDEX(Tasks[_LeafLateStart],Tasks[[#This Row],[_Row]]+Tasks[[#This Row],[_Descendants]])),Tasks[[#This Row],[_LeafLateStart]]))</f>
        <v>46324</v>
      </c>
      <c r="AU17" s="62" t="n">
        <f aca="false">IF(Tasks[[#This Row],[Task Name]]="","",IF(Tasks[[#This Row],[_IsSummary]],MAX(INDEX(Tasks[_LeafLateFinish],Tasks[[#This Row],[_Row]]+1):INDEX(Tasks[_LeafLateFinish],Tasks[[#This Row],[_Row]]+Tasks[[#This Row],[_Descendants]])),Tasks[[#This Row],[_LeafLateFinish]]))</f>
        <v>46324</v>
      </c>
      <c r="AV17" s="46"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4"/>
      <c r="BA1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5"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6"/>
      <c r="BJ17" s="22"/>
      <c r="BK17" s="46" t="n">
        <f aca="false">IF(OR(Tasks[[#This Row],[Task Name]]="",Tasks[[#This Row],[Baseline Duration]]=""),"",Tasks[[#This Row],[_SpanDays]]-N(Tasks[[#This Row],[Baseline Duration]]))</f>
        <v>0</v>
      </c>
      <c r="BL17" s="85" t="n">
        <f aca="false">IF(OR(Tasks[[#This Row],[Task Name]]="",Tasks[[#This Row],[Baseline Work]]=""),"",Tasks[[#This Row],[Work]]-N(Tasks[[#This Row],[Baseline Work]]))</f>
        <v>0</v>
      </c>
      <c r="BM17" s="62" t="n">
        <f aca="false">IF(Tasks[[#This Row],[Task Name]]="","",IF(OR(TakeBaseline="Yes",N(Tasks[[#This Row],[Baseline Start]])=0),Tasks[[#This Row],[Start]],Tasks[[#This Row],[Baseline Start]]))</f>
        <v>46318</v>
      </c>
      <c r="BN17" s="62"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5" t="n">
        <f aca="false">IF(Tasks[[#This Row],[Task Name]]="","",IF(OR(TakeBaseline="Yes",N(Tasks[[#This Row],[Baseline Work]])=0),Tasks[[#This Row],[Work]],Tasks[[#This Row],[Baseline Work]]))</f>
        <v>0</v>
      </c>
      <c r="BQ17" s="7" t="n">
        <v>46318</v>
      </c>
      <c r="BR17" s="7" t="n">
        <v>46318</v>
      </c>
      <c r="BS17" s="22" t="n">
        <v>0</v>
      </c>
      <c r="BT17" s="87" t="n">
        <v>0</v>
      </c>
      <c r="BU17" s="42" t="n">
        <f aca="false">IF(Tasks[[#This Row],[Task Name]]="","",MAX(1,N(Tasks[[#This Row],[Level]])))</f>
        <v>2</v>
      </c>
      <c r="BV17" s="42" t="n">
        <f aca="false">ROW()-ROW(Tasks[[#Headers],[ID]])</f>
        <v>12</v>
      </c>
      <c r="BW17" s="42" t="n">
        <f aca="false">IF(OR(Tasks[[#This Row],[Task Name]]="",Tasks[[#This Row],[_Level]]&lt;=1),0,IFERROR(LOOKUP(2,1/(Tasks[[#Headers],[_Level]]:Tasks[[#This Row],[_Level]]=Tasks[[#This Row],[_Level]]-1),ROW(Tasks[[#Headers],[_Level]]:Tasks[[#This Row],[_Level]])),0))</f>
        <v>14</v>
      </c>
      <c r="BX17" s="42" t="n">
        <f aca="false">IFERROR(N(INDEX(Tasks[_Level],Tasks[[#This Row],[_Row]]+1)),0)</f>
        <v>0</v>
      </c>
      <c r="BY17" s="88" t="b">
        <f aca="false">AND(Tasks[[#This Row],[Task Name]]&lt;&gt;"",Tasks[[#This Row],[_NextLevel]]&gt;Tasks[[#This Row],[_Level]])</f>
        <v>0</v>
      </c>
      <c r="BZ17" s="42" t="n">
        <f aca="false">IF(Tasks[[#This Row],[_IsSummary]],COUNTIF(Tasks[WBS],Tasks[[#This Row],[WBS]]&amp;".*"),0)</f>
        <v>0</v>
      </c>
      <c r="CA17" s="42" t="n">
        <f aca="false">IF(AND(Tasks[[#This Row],[Task Name]]&lt;&gt;"",NOT(Tasks[[#This Row],[_IsSummary]])),1,0)</f>
        <v>1</v>
      </c>
      <c r="CB17" s="42" t="n">
        <f aca="false">IF(N(Tasks[[#This Row],[_Pred1UID]])=0,0,IFERROR(MATCH(Tasks[[#This Row],[_Pred1UID]],Tasks[UID],0),-1))</f>
        <v>11</v>
      </c>
      <c r="CC17" s="42" t="n">
        <f aca="false">IF(N(Tasks[[#This Row],[_Pred2UID]])=0,0,IFERROR(MATCH(Tasks[[#This Row],[_Pred2UID]],Tasks[UID],0),-1))</f>
        <v>0</v>
      </c>
      <c r="CD17" s="42" t="n">
        <f aca="false">IF(N(Tasks[[#This Row],[_Pred3UID]])=0,0,IFERROR(MATCH(Tasks[[#This Row],[_Pred3UID]],Tasks[UID],0),-1))</f>
        <v>0</v>
      </c>
      <c r="CE17" s="42" t="n">
        <f aca="false">IF(N(Tasks[[#This Row],[_Pred4UID]])=0,0,IFERROR(MATCH(Tasks[[#This Row],[_Pred4UID]],Tasks[UID],0),-1))</f>
        <v>0</v>
      </c>
      <c r="CF1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 s="89" t="n">
        <f aca="false">IF(OR(Tasks[[#This Row],[_ConstraintCode]]=2,Tasks[[#This Row],[_ConstraintCode]]=3,Tasks[[#This Row],[_ConstraintCode]]=4,Tasks[[#This Row],[_ConstraintCode]]=6),Tasks[[#This Row],[_ConstraintStart]],0)</f>
        <v>0</v>
      </c>
      <c r="CI17" s="89" t="n">
        <f aca="false">IF(OR(Tasks[[#This Row],[_ConstraintCode]]=2,Tasks[[#This Row],[_ConstraintCode]]=3,Tasks[[#This Row],[_ConstraintCode]]=5,Tasks[[#This Row],[_ConstraintCode]]=7),Tasks[[#This Row],[_ConstraintStart]],2958465)</f>
        <v>2958465</v>
      </c>
      <c r="CJ1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7" s="89" t="n">
        <f aca="false">IF(NOT(Tasks[[#This Row],[_IsLeaf]]=1),"",IF(N(Tasks[[#This Row],[_Days]])&lt;=0,Tasks[[#This Row],[_LeafCalcStart]],WORKDAY.INTL(Tasks[[#This Row],[_LeafCalcStart]],Tasks[[#This Row],[_Days]]-1,WorkWeek,Holidays)))</f>
        <v>46318</v>
      </c>
      <c r="CL1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7" s="42" t="str">
        <f aca="false">IF(Tasks[[#This Row],[_Predecessors]]="","",TRIM(MID(SUBSTITUTE(SUBSTITUTE(SUBSTITUTE(UPPER(Tasks[[#This Row],[_Predecessors]]),";",",")," ",""),",",REPT(" ",99)),1,99)))</f>
        <v>24</v>
      </c>
      <c r="CO17" s="42" t="n">
        <f aca="false">IF(Tasks[[#This Row],[_Pred1Text]]="","",IFERROR(VALUE(LEFT(Tasks[[#This Row],[_Pred1Text]],MIN(FIND("F",Tasks[[#This Row],[_Pred1Text]]&amp;"F"),FIND("S",Tasks[[#This Row],[_Pred1Text]]&amp;"S"),FIND("+",Tasks[[#This Row],[_Pred1Text]]&amp;"+"),FIND("-",Tasks[[#This Row],[_Pred1Text]]&amp;"-"))-1)),""))</f>
        <v>24</v>
      </c>
      <c r="CP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7"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7" s="42" t="str">
        <f aca="false">IF(Tasks[[#This Row],[_Pred1Text]]="","",TRIM(MID(SUBSTITUTE(SUBSTITUTE(SUBSTITUTE(UPPER(Tasks[[#This Row],[_Predecessors]]),";",",")," ",""),",",REPT(" ",99)),100,99)))</f>
        <v/>
      </c>
      <c r="CS17" s="42" t="str">
        <f aca="false">IF(Tasks[[#This Row],[_Pred2Text]]="","",IFERROR(VALUE(LEFT(Tasks[[#This Row],[_Pred2Text]],MIN(FIND("F",Tasks[[#This Row],[_Pred2Text]]&amp;"F"),FIND("S",Tasks[[#This Row],[_Pred2Text]]&amp;"S"),FIND("+",Tasks[[#This Row],[_Pred2Text]]&amp;"+"),FIND("-",Tasks[[#This Row],[_Pred2Text]]&amp;"-"))-1)),""))</f>
        <v/>
      </c>
      <c r="CT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 s="42" t="str">
        <f aca="false">IF(Tasks[[#This Row],[_Pred2Text]]="","",TRIM(MID(SUBSTITUTE(SUBSTITUTE(SUBSTITUTE(UPPER(Tasks[[#This Row],[_Predecessors]]),";",",")," ",""),",",REPT(" ",99)),199,99)))</f>
        <v/>
      </c>
      <c r="CW17" s="42" t="str">
        <f aca="false">IF(Tasks[[#This Row],[_Pred3Text]]="","",IFERROR(VALUE(LEFT(Tasks[[#This Row],[_Pred3Text]],MIN(FIND("F",Tasks[[#This Row],[_Pred3Text]]&amp;"F"),FIND("S",Tasks[[#This Row],[_Pred3Text]]&amp;"S"),FIND("+",Tasks[[#This Row],[_Pred3Text]]&amp;"+"),FIND("-",Tasks[[#This Row],[_Pred3Text]]&amp;"-"))-1)),""))</f>
        <v/>
      </c>
      <c r="CX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 s="42" t="str">
        <f aca="false">IF(Tasks[[#This Row],[_Pred3Text]]="","",TRIM(MID(SUBSTITUTE(SUBSTITUTE(SUBSTITUTE(UPPER(Tasks[[#This Row],[_Predecessors]]),";",",")," ",""),",",REPT(" ",99)),298,99)))</f>
        <v/>
      </c>
      <c r="DA17" s="42" t="str">
        <f aca="false">IF(Tasks[[#This Row],[_Pred4Text]]="","",IFERROR(VALUE(LEFT(Tasks[[#This Row],[_Pred4Text]],MIN(FIND("F",Tasks[[#This Row],[_Pred4Text]]&amp;"F"),FIND("S",Tasks[[#This Row],[_Pred4Text]]&amp;"S"),FIND("+",Tasks[[#This Row],[_Pred4Text]]&amp;"+"),FIND("-",Tasks[[#This Row],[_Pred4Text]]&amp;"-"))-1)),""))</f>
        <v/>
      </c>
      <c r="DB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 s="42" t="str">
        <f aca="false">IF(OR(Tasks[[#This Row],[Task Name]]="",Tasks[[#This Row],[_Resources]]=""),"",TRIM(MID(SUBSTITUTE(Tasks[[#This Row],[_Resources]],",",REPT(" ",99)),1,99)))</f>
        <v/>
      </c>
      <c r="DE17" s="42" t="str">
        <f aca="false">IF(Tasks[[#This Row],[_Res1Text]]="","",TRIM(MID(SUBSTITUTE(Tasks[[#This Row],[_Resources]],",",REPT(" ",99)),100,99)))</f>
        <v/>
      </c>
      <c r="DF17" s="42" t="str">
        <f aca="false">IF(Tasks[[#This Row],[_Res2Text]]="","",TRIM(MID(SUBSTITUTE(Tasks[[#This Row],[_Resources]],",",REPT(" ",99)),199,99)))</f>
        <v/>
      </c>
      <c r="DG17" s="42" t="str">
        <f aca="false">IF(Tasks[[#This Row],[_Res3Text]]="","",TRIM(MID(SUBSTITUTE(Tasks[[#This Row],[_Resources]],",",REPT(" ",99)),298,99)))</f>
        <v/>
      </c>
      <c r="DH17" s="42" t="n">
        <f aca="false">IF(Tasks[[#This Row],[_Res1Text]]="",0,IFERROR(MATCH(TRIM(LEFT(Tasks[[#This Row],[_Res1Text]],FIND("[",Tasks[[#This Row],[_Res1Text]]&amp;"[")-1)),res_Name,0),IFERROR(MATCH(TRIM(LEFT(Tasks[[#This Row],[_Res1Text]],FIND("[",Tasks[[#This Row],[_Res1Text]]&amp;"[")-1)),res_Initials,0),0)))</f>
        <v>0</v>
      </c>
      <c r="DI17" s="42" t="n">
        <f aca="false">IF(Tasks[[#This Row],[_Res2Text]]="",0,IFERROR(MATCH(TRIM(LEFT(Tasks[[#This Row],[_Res2Text]],FIND("[",Tasks[[#This Row],[_Res2Text]]&amp;"[")-1)),res_Name,0),IFERROR(MATCH(TRIM(LEFT(Tasks[[#This Row],[_Res2Text]],FIND("[",Tasks[[#This Row],[_Res2Text]]&amp;"[")-1)),res_Initials,0),0)))</f>
        <v>0</v>
      </c>
      <c r="DJ17" s="42" t="n">
        <f aca="false">IF(Tasks[[#This Row],[_Res3Text]]="",0,IFERROR(MATCH(TRIM(LEFT(Tasks[[#This Row],[_Res3Text]],FIND("[",Tasks[[#This Row],[_Res3Text]]&amp;"[")-1)),res_Name,0),IFERROR(MATCH(TRIM(LEFT(Tasks[[#This Row],[_Res3Text]],FIND("[",Tasks[[#This Row],[_Res3Text]]&amp;"[")-1)),res_Initials,0),0)))</f>
        <v>0</v>
      </c>
      <c r="DK17" s="42" t="n">
        <f aca="false">IF(Tasks[[#This Row],[_Res4Text]]="",0,IFERROR(MATCH(TRIM(LEFT(Tasks[[#This Row],[_Res4Text]],FIND("[",Tasks[[#This Row],[_Res4Text]]&amp;"[")-1)),res_Name,0),IFERROR(MATCH(TRIM(LEFT(Tasks[[#This Row],[_Res4Text]],FIND("[",Tasks[[#This Row],[_Res4Text]]&amp;"[")-1)),res_Initials,0),0)))</f>
        <v>0</v>
      </c>
      <c r="DL17" s="42" t="str">
        <f aca="false">IF(Tasks[[#This Row],[_Res1Text]]="","",IF(Tasks[[#This Row],[_Res1Row]]&gt;0,INDEX(res_Name,Tasks[[#This Row],[_Res1Row]]),TRIM(LEFT(Tasks[[#This Row],[_Res1Text]],FIND("[",Tasks[[#This Row],[_Res1Text]]&amp;"[")-1))))</f>
        <v/>
      </c>
      <c r="DM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 s="42" t="n">
        <f aca="false">IF(NOT(Tasks[[#This Row],[_IsLeaf]]=1),0,(Tasks[[#This Row],[_Resource1]]&lt;&gt;"")+(Tasks[[#This Row],[_Res2]]&lt;&gt;"")+(Tasks[[#This Row],[_Res3]]&lt;&gt;"")+(Tasks[[#This Row],[_Res4]]&lt;&gt;""))</f>
        <v>0</v>
      </c>
      <c r="DO17" s="42" t="str">
        <f aca="false">IF(Tasks[[#This Row],[_Res2Text]]="","",IF(Tasks[[#This Row],[_Res2Row]]&gt;0,INDEX(res_Name,Tasks[[#This Row],[_Res2Row]]),TRIM(LEFT(Tasks[[#This Row],[_Res2Text]],FIND("[",Tasks[[#This Row],[_Res2Text]]&amp;"[")-1))))</f>
        <v/>
      </c>
      <c r="DP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 s="42" t="n">
        <f aca="false">IF(OR(NOT(Tasks[[#This Row],[_IsLeaf]]=1),Tasks[[#This Row],[_Res2Row]]=0),0,N(Tasks[[#This Row],[_Days]])*HoursPerDay*IF(Tasks[[#This Row],[_Res2Units]]="",DefaultUnits,Tasks[[#This Row],[_Res2Units]]))</f>
        <v>0</v>
      </c>
      <c r="DR17" s="42" t="n">
        <f aca="false">IF(AND(AND(Tasks[[#This Row],[_IsLeaf]]=1,Tasks[[#This Row],[_LeafTotalWork]]&gt;0),Tasks[[#This Row],[_Res2Work]]&gt;0),Tasks[[#This Row],[_Res2Work]]/(Tasks[[#This Row],[_FinishWorkday]]-Tasks[[#This Row],[_StartWorkday]]+1),0)</f>
        <v>0</v>
      </c>
      <c r="DS17" s="42" t="n">
        <f aca="false">Tasks[[#This Row],[_Res2WorkPerWD]]*MAX(0,Tasks[[#This Row],[_StartWorkday]]-1)</f>
        <v>0</v>
      </c>
      <c r="DT17" s="42" t="n">
        <f aca="false">Tasks[[#This Row],[_Res2Work]]*Tasks[[#This Row],[_LeafProgress]]</f>
        <v>0</v>
      </c>
      <c r="DU17" s="42" t="str">
        <f aca="false">IF(Tasks[[#This Row],[_Res3Text]]="","",IF(Tasks[[#This Row],[_Res3Row]]&gt;0,INDEX(res_Name,Tasks[[#This Row],[_Res3Row]]),TRIM(LEFT(Tasks[[#This Row],[_Res3Text]],FIND("[",Tasks[[#This Row],[_Res3Text]]&amp;"[")-1))))</f>
        <v/>
      </c>
      <c r="DV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 s="42" t="n">
        <f aca="false">IF(OR(NOT(Tasks[[#This Row],[_IsLeaf]]=1),Tasks[[#This Row],[_Res3Row]]=0),0,N(Tasks[[#This Row],[_Days]])*HoursPerDay*IF(Tasks[[#This Row],[_Res3Units]]="",DefaultUnits,Tasks[[#This Row],[_Res3Units]]))</f>
        <v>0</v>
      </c>
      <c r="DX17" s="42" t="n">
        <f aca="false">IF(AND(AND(Tasks[[#This Row],[_IsLeaf]]=1,Tasks[[#This Row],[_LeafTotalWork]]&gt;0),Tasks[[#This Row],[_Res3Work]]&gt;0),Tasks[[#This Row],[_Res3Work]]/(Tasks[[#This Row],[_FinishWorkday]]-Tasks[[#This Row],[_StartWorkday]]+1),0)</f>
        <v>0</v>
      </c>
      <c r="DY17" s="42" t="n">
        <f aca="false">Tasks[[#This Row],[_Res3WorkPerWD]]*MAX(0,Tasks[[#This Row],[_StartWorkday]]-1)</f>
        <v>0</v>
      </c>
      <c r="DZ17" s="42" t="n">
        <f aca="false">Tasks[[#This Row],[_Res3Work]]*Tasks[[#This Row],[_LeafProgress]]</f>
        <v>0</v>
      </c>
      <c r="EA17" s="42" t="str">
        <f aca="false">IF(Tasks[[#This Row],[_Res4Text]]="","",IF(Tasks[[#This Row],[_Res4Row]]&gt;0,INDEX(res_Name,Tasks[[#This Row],[_Res4Row]]),TRIM(LEFT(Tasks[[#This Row],[_Res4Text]],FIND("[",Tasks[[#This Row],[_Res4Text]]&amp;"[")-1))))</f>
        <v/>
      </c>
      <c r="EB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 s="42" t="n">
        <f aca="false">IF(OR(NOT(Tasks[[#This Row],[_IsLeaf]]=1),Tasks[[#This Row],[_Res4Row]]=0),0,N(Tasks[[#This Row],[_Days]])*HoursPerDay*IF(Tasks[[#This Row],[_Res4Units]]="",DefaultUnits,Tasks[[#This Row],[_Res4Units]]))</f>
        <v>0</v>
      </c>
      <c r="ED17" s="42" t="n">
        <f aca="false">IF(AND(AND(Tasks[[#This Row],[_IsLeaf]]=1,Tasks[[#This Row],[_LeafTotalWork]]&gt;0),Tasks[[#This Row],[_Res4Work]]&gt;0),Tasks[[#This Row],[_Res4Work]]/(Tasks[[#This Row],[_FinishWorkday]]-Tasks[[#This Row],[_StartWorkday]]+1),0)</f>
        <v>0</v>
      </c>
      <c r="EE17" s="42" t="n">
        <f aca="false">Tasks[[#This Row],[_Res4WorkPerWD]]*MAX(0,Tasks[[#This Row],[_StartWorkday]]-1)</f>
        <v>0</v>
      </c>
      <c r="EF17" s="42" t="n">
        <f aca="false">Tasks[[#This Row],[_Res4Work]]*Tasks[[#This Row],[_LeafProgress]]</f>
        <v>0</v>
      </c>
      <c r="EG17" s="42" t="n">
        <f aca="false">IF(ISNUMBER(Tasks[[#This Row],[% Complete]]),Tasks[[#This Row],[% Complete]],IF(Tasks[[#This Row],[Stage]]="",0,IFERROR(INDEX(stg_Pct,MATCH(Tasks[[#This Row],[Stage]],stg_Name,0)),0)))</f>
        <v>0</v>
      </c>
      <c r="EH17" s="42" t="n">
        <f aca="false">IF(NOT(Tasks[[#This Row],[_IsLeaf]]=1),0,IF(N(Tasks[[#This Row],[Actual Finish]])&gt;0,1,MIN(1,Tasks[[#This Row],[_Pct]])))</f>
        <v>0</v>
      </c>
      <c r="EI17" s="42" t="n">
        <f aca="false">IF(OR(NOT(Tasks[[#This Row],[_IsLeaf]]=1),Tasks[[#This Row],[_Res1Row]]=0),0,N(Tasks[[#This Row],[_Days]])*HoursPerDay*IF(Tasks[[#This Row],[_Units1]]="",DefaultUnits,Tasks[[#This Row],[_Units1]]))</f>
        <v>0</v>
      </c>
      <c r="EJ17" s="42" t="n">
        <f aca="false">Tasks[[#This Row],[_LeafWork]]+Tasks[[#This Row],[_Res2Work]]+Tasks[[#This Row],[_Res3Work]]+Tasks[[#This Row],[_Res4Work]]</f>
        <v>0</v>
      </c>
      <c r="EK17"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L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 s="42" t="n">
        <f aca="false">IF(NOT(Tasks[[#This Row],[_IsLeaf]]=1),0,MAX(_xlfn.MAXIFS(Tasks[_Row],Tasks[_Pred1UID],Tasks[[#This Row],[UID]]),_xlfn.MAXIFS(Tasks[_Row],Tasks[_Pred2UID],Tasks[[#This Row],[UID]]),_xlfn.MAXIFS(Tasks[_Row],Tasks[_Pred3UID],Tasks[[#This Row],[UID]]),_xlfn.MAXIFS(Tasks[_Row],Tasks[_Pred4UID],Tasks[[#This Row],[UID]])))</f>
        <v>0</v>
      </c>
      <c r="ET1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U1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7" s="89" t="n">
        <f aca="false">IF(NOT(Tasks[[#This Row],[_IsLeaf]]=1),"",IF(N(Tasks[[#This Row],[_Days]])&lt;=0,Tasks[[#This Row],[_LeafLateFinish]],WORKDAY.INTL(Tasks[[#This Row],[_LeafLateFinish]],-(Tasks[[#This Row],[_Days]]-1),WorkWeek,Holidays)))</f>
        <v>46324</v>
      </c>
      <c r="EW1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7" s="88" t="b">
        <f aca="false">AND(Tasks[[#This Row],[_IsLeaf]]=1,Tasks[[#This Row],[_LeafProgress]]&lt;1,N(Tasks[[#This Row],[_LeafTotalSlack]])&lt;=CriticalSlackDays)</f>
        <v>1</v>
      </c>
      <c r="EY17" s="42" t="n">
        <f aca="false">IF(AND(Tasks[[#This Row],[_IsLeaf]]=1,Tasks[[#This Row],[_ConstraintCode]]=1,Tasks[[#This Row],[Mode]]&lt;&gt;"Manual",N(Tasks[[#This Row],[Actual Start]])=0),MAX(0,N(Tasks[[#This Row],[Free Slack]])),0)</f>
        <v>0</v>
      </c>
      <c r="EZ17" s="89" t="n">
        <f aca="false">IF(NOT(Tasks[[#This Row],[_IsLeaf]]=1),"",IF(Tasks[[#This Row],[_AlapShift]]=0,Tasks[[#This Row],[_LeafCalcStart]],WORKDAY.INTL(Tasks[[#This Row],[_LeafCalcStart]],Tasks[[#This Row],[_AlapShift]],WorkWeek,Holidays)))</f>
        <v>46318</v>
      </c>
      <c r="FA17" s="89" t="n">
        <f aca="false">IF(NOT(Tasks[[#This Row],[_IsLeaf]]=1),"",IF(Tasks[[#This Row],[_AlapShift]]=0,Tasks[[#This Row],[_LeafCalcFinish]],WORKDAY.INTL(Tasks[[#This Row],[_LeafCalcFinish]],Tasks[[#This Row],[_AlapShift]],WorkWeek,Holidays)))</f>
        <v>46318</v>
      </c>
      <c r="FB17" s="89" t="n">
        <f aca="false">IF(NOT(Tasks[[#This Row],[_IsLeaf]]=1),"",IF(Tasks[[#This Row],[_AlapShift]]=0,Tasks[[#This Row],[_LeafFcstStart]],WORKDAY.INTL(Tasks[[#This Row],[_LeafFcstStart]],Tasks[[#This Row],[_AlapShift]],WorkWeek,Holidays)))</f>
        <v>46324</v>
      </c>
      <c r="FC17" s="89" t="n">
        <f aca="false">IF(NOT(Tasks[[#This Row],[_IsLeaf]]=1),"",IF(Tasks[[#This Row],[_AlapShift]]=0,Tasks[[#This Row],[_LeafFcstFinish]],WORKDAY.INTL(Tasks[[#This Row],[_LeafFcstFinish]],Tasks[[#This Row],[_AlapShift]],WorkWeek,Holidays)))</f>
        <v>46324</v>
      </c>
      <c r="FD17" s="89" t="n">
        <f aca="false">IF(Tasks[[#This Row],[Task Name]]="","",IF(Tasks[[#This Row],[_IsSummary]],MIN(INDEX(Tasks[_ShownCalcStart],Tasks[[#This Row],[_Row]]+1):INDEX(Tasks[_ShownCalcStart],Tasks[[#This Row],[_Row]]+Tasks[[#This Row],[_Descendants]])),Tasks[[#This Row],[_ShownCalcStart]]))</f>
        <v>46318</v>
      </c>
      <c r="FE17" s="89" t="n">
        <f aca="false">IF(Tasks[[#This Row],[Task Name]]="","",IF(Tasks[[#This Row],[_IsSummary]],MAX(INDEX(Tasks[_ShownCalcFinish],Tasks[[#This Row],[_Row]]+1):INDEX(Tasks[_ShownCalcFinish],Tasks[[#This Row],[_Row]]+Tasks[[#This Row],[_Descendants]])),Tasks[[#This Row],[_ShownCalcFinish]]))</f>
        <v>46318</v>
      </c>
      <c r="FF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 s="42" t="n">
        <f aca="false">IF(AND(Tasks[[#This Row],[_IsLeaf]]=1,Tasks[[#This Row],[_LeafTotalWork]]&gt;0),NETWORKDAYS.INTL(ProjectStart,Tasks[[#This Row],[_ShownFcstStart]],WorkWeek,Holidays),0)</f>
        <v>0</v>
      </c>
      <c r="FS17" s="42" t="n">
        <f aca="false">IF(AND(Tasks[[#This Row],[_IsLeaf]]=1,Tasks[[#This Row],[_LeafTotalWork]]&gt;0),MAX(Tasks[[#This Row],[_StartWorkday]],NETWORKDAYS.INTL(ProjectStart,Tasks[[#This Row],[_ShownFcstFinish]],WorkWeek,Holidays)),0)</f>
        <v>0</v>
      </c>
      <c r="FT17" s="42" t="n">
        <f aca="false">IF(AND(Tasks[[#This Row],[_IsLeaf]]=1,Tasks[[#This Row],[_LeafTotalWork]]&gt;0),Tasks[[#This Row],[_LeafWork]]/(Tasks[[#This Row],[_FinishWorkday]]-Tasks[[#This Row],[_StartWorkday]]+1),0)</f>
        <v>0</v>
      </c>
      <c r="FU17" s="42" t="n">
        <f aca="false">Tasks[[#This Row],[_WorkPerWorkday]]*(Tasks[[#This Row],[_StartWorkday]]-1)</f>
        <v>-0</v>
      </c>
      <c r="FV17" s="42" t="n">
        <f aca="false">IF(Tasks[[#This Row],[_IsLeaf]]=1,MAX(N(Tasks[[#This Row],[_Days]]),0.1),0)</f>
        <v>0.1</v>
      </c>
      <c r="FW17" s="42" t="n">
        <f aca="false">Tasks[[#This Row],[_WeightDur]]*Tasks[[#This Row],[_LeafProgress]]</f>
        <v>0</v>
      </c>
      <c r="FX17" s="42" t="n">
        <f aca="false">Tasks[[#This Row],[_WeightDur]]*Tasks[[#This Row],[_PlannedPct]]</f>
        <v>0.1</v>
      </c>
      <c r="FY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Z17" s="93" t="n">
        <f aca="false">IF(AND(Tasks[[#This Row],[_IsLeaf]]=1,N(Tasks[[#This Row],[_Days]])=0,Tasks[[#This Row],[_LeafProgress]]&lt;1),Tasks[[#This Row],[_ShownFcstFinish]]+Tasks[[#This Row],[_Row]]/100000,"")</f>
        <v>46324.00012</v>
      </c>
      <c r="GA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7" s="42" t="str">
        <f aca="false">IF(Tasks[[#This Row],[Task Name]]="","",LEFT(Tasks[[#This Row],[WBS]],FIND(".",Tasks[[#This Row],[WBS]]&amp;".")-1))</f>
        <v>3</v>
      </c>
      <c r="GC17" s="42" t="str">
        <f aca="false">IF(AND(Tasks[[#This Row],[Task Name]]&lt;&gt;"",Tasks[[#This Row],[_Level]]=1),Tasks[[#This Row],[_Row]],"")</f>
        <v/>
      </c>
      <c r="GD17" s="93" t="n">
        <f aca="false">IF(AND(Tasks[[#This Row],[_IsLeaf]]=1,N(Tasks[[#This Row],[_Days]])=0),Tasks[[#This Row],[Planned Finish]]+Tasks[[#This Row],[_Row]]/100000,"")</f>
        <v>46318.00012</v>
      </c>
      <c r="GE17" s="42" t="n">
        <f aca="false">IF(AND(Tasks[[#This Row],[_IsLeaf]]=1,Tasks[[#This Row],[_LeafProgress]]&lt;1,OR(N(Tasks[[#This Row],[Finish Var]])&gt;0,Tasks[[#This Row],[Status]]="Late Start")),MAX(0,Tasks[[#This Row],[Finish Var]])+1-Tasks[[#This Row],[_Row]]/1000000,"")</f>
        <v>4.999988</v>
      </c>
      <c r="GF17" s="93" t="n">
        <f aca="false">IF(AND(Tasks[[#This Row],[_IsLeaf]]=1,N(Tasks[[#This Row],[Actual Start]])=0,Tasks[[#This Row],[_ShownFcstStart]]&gt;=StatusDate,Tasks[[#This Row],[_ShownFcstStart]]&lt;=LookaheadEnd),Tasks[[#This Row],[_ShownFcstStart]]+Tasks[[#This Row],[_Row]]/100000,"")</f>
        <v>46324.00012</v>
      </c>
      <c r="GG17" s="93" t="n">
        <f aca="false">IF(AND(Tasks[[#This Row],[_IsLeaf]]=1,Tasks[[#This Row],[_LeafProgress]]&lt;1,Tasks[[#This Row],[_ShownFcstFinish]]&gt;=StatusDate,Tasks[[#This Row],[_ShownFcstFinish]]&lt;=LookaheadEnd),Tasks[[#This Row],[_ShownFcstFinish]]+Tasks[[#This Row],[_Row]]/100000,"")</f>
        <v>46324.00012</v>
      </c>
      <c r="GH17" s="93" t="n">
        <f aca="false">IF(Tasks[[#This Row],[_LeafCritical]],Tasks[[#This Row],[_ShownFcstStart]]+Tasks[[#This Row],[_Row]]/100000,"")</f>
        <v>46324.00012</v>
      </c>
      <c r="GI17" s="42" t="n">
        <f aca="false">Tasks[[#This Row],[_LeafWork]]*Tasks[[#This Row],[_LeafProgress]]</f>
        <v>0</v>
      </c>
      <c r="GJ17" s="89" t="str">
        <f aca="false">IF(AND(Tasks[[#This Row],[_IsLeaf]]=1,Tasks[[#This Row],[_LeafProgress]]&gt;=1),IF(N(Tasks[[#This Row],[Actual Finish]])&gt;0,Tasks[[#This Row],[Actual Finish]],Tasks[[#This Row],[_ShownFcstFinish]]),"")</f>
        <v/>
      </c>
      <c r="GK17" s="42" t="n">
        <f aca="false">IF(Tasks[[#This Row],[_IsLeaf]]=1,N(Tasks[[#This Row],[Story Points]]),0)</f>
        <v>0</v>
      </c>
      <c r="GL17" s="42" t="str">
        <f aca="false">""</f>
        <v/>
      </c>
      <c r="GM17" s="88" t="b">
        <f aca="false">IF(Tasks[[#This Row],[Task Name]]="",FALSE(),AND(Tasks[[#This Row],[_IsLeaf]]=1,N(Tasks[[#This Row],[_Days]])=0))</f>
        <v>1</v>
      </c>
      <c r="GN17" s="89" t="n">
        <f aca="false">IF(Tasks[[#This Row],[Task Name]]="",0,IF(AND(Tasks[[#This Row],[_IsLeaf]]=1,NOT(Tasks[[#This Row],[_IsMilestone]]),N(Tasks[[#This Row],[Progress]])&gt;0),Tasks[[#This Row],[Start]],0))</f>
        <v>0</v>
      </c>
      <c r="GO17" s="89" t="n">
        <f aca="false">IF(Tasks[[#This Row],[_DoneFrom]]=0,0,IF(Tasks[[#This Row],[Progress]]&gt;=1,Tasks[[#This Row],[Finish]],MAX(Tasks[[#This Row],[_DoneFrom]],Tasks[[#This Row],[Start]]+ROUND((Tasks[[#This Row],[Finish]]-Tasks[[#This Row],[Start]]+1)*Tasks[[#This Row],[Progress]],0)-1)))</f>
        <v>0</v>
      </c>
      <c r="GP17" s="89" t="n">
        <f aca="false">IF(Tasks[[#This Row],[Task Name]]="",0,IF(OR(NOT(Tasks[[#This Row],[_IsLeaf]]=1),Tasks[[#This Row],[_IsMilestone]],N(Tasks[[#This Row],[Progress]])&gt;=1),0,IF(Tasks[[#This Row],[_DoneTo]]&gt;0,Tasks[[#This Row],[_DoneTo]]+1,Tasks[[#This Row],[Start]])))</f>
        <v>0</v>
      </c>
      <c r="GQ17" s="89" t="n">
        <f aca="false">IF(Tasks[[#This Row],[_RemFrom]]=0,0,Tasks[[#This Row],[Finish]])</f>
        <v>0</v>
      </c>
      <c r="GR17" s="88" t="b">
        <f aca="false">IF(Tasks[[#This Row],[Task Name]]="",FALSE(),OR(NOT(BaselineSet),N(Tasks[[#This Row],[Baseline Start]])&gt;0))</f>
        <v>1</v>
      </c>
      <c r="GS1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GU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 s="90" t="n">
        <f aca="false">IF(Tasks[[#This Row],[_IsLeaf]]=1,Tasks[[#This Row],[_Row]],"")</f>
        <v>12</v>
      </c>
      <c r="GW17" s="90" t="str">
        <f aca="false">IFERROR(INDEX(Tasks[UID],SMALL(Tasks[_PickKey],Tasks[[#This Row],[_Row]]))&amp;" "&amp;INDEX(Tasks[Task Name],SMALL(Tasks[_PickKey],Tasks[[#This Row],[_Row]])),"")</f>
        <v/>
      </c>
      <c r="GX17" s="42" t="n">
        <f aca="false">IF(Tasks[[#This Row],[Task Name]]="","",IF(Tasks[[#This Row],[_IsSummary]],NETWORKDAYS.INTL(Tasks[[#This Row],[Start]],Tasks[[#This Row],[Finish]],WorkWeek,Holidays),N(Tasks[[#This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3"/>
      <c r="U18" s="23"/>
      <c r="V18" s="83"/>
      <c r="W18" s="23"/>
      <c r="X18" s="83"/>
      <c r="Y18" s="23"/>
      <c r="Z18" s="83"/>
      <c r="AA18" s="23"/>
      <c r="AB18" s="23"/>
      <c r="AC18" s="7"/>
      <c r="AD18" s="7"/>
      <c r="AE18" s="62" t="str">
        <f aca="false">IF(Tasks[[#This Row],[Task Name]]="","",IF(Tasks[[#This Row],[_IsSummary]],MIN(INDEX(Tasks[_ShownFcstStart],Tasks[[#This Row],[_Row]]+1):INDEX(Tasks[_ShownFcstStart],Tasks[[#This Row],[_Row]]+Tasks[[#This Row],[_Descendants]])),Tasks[[#This Row],[_ShownFcstStart]]))</f>
        <v/>
      </c>
      <c r="AF18" s="62"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 s="7"/>
      <c r="AK18" s="22"/>
      <c r="AL18" s="23"/>
      <c r="AM18" s="7"/>
      <c r="AN18" s="46"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2" t="str">
        <f aca="false">IF(Tasks[[#This Row],[Task Name]]="","",IF(N(Tasks[[#This Row],[Baseline Start]])&gt;0,Tasks[[#This Row],[Baseline Start]],Tasks[[#This Row],[_CalcStart]]))</f>
        <v/>
      </c>
      <c r="AR18" s="62" t="str">
        <f aca="false">IF(Tasks[[#This Row],[Task Name]]="","",IF(N(Tasks[[#This Row],[Baseline Finish]])&gt;0,Tasks[[#This Row],[Baseline Finish]],Tasks[[#This Row],[_CalcFinish]]))</f>
        <v/>
      </c>
      <c r="AS18" s="46" t="str">
        <f aca="false">IF(Tasks[[#This Row],[Task Name]]="","",IF(Tasks[[#This Row],[Start]]&gt;=Tasks[[#This Row],[Planned Start]],NETWORKDAYS.INTL(Tasks[[#This Row],[Planned Start]],Tasks[[#This Row],[Start]],WorkWeek,Holidays)-1,1-NETWORKDAYS.INTL(Tasks[[#This Row],[Start]],Tasks[[#This Row],[Planned Start]],WorkWeek,Holidays)))</f>
        <v/>
      </c>
      <c r="AT18" s="62" t="str">
        <f aca="false">IF(Tasks[[#This Row],[Task Name]]="","",IF(Tasks[[#This Row],[_IsSummary]],MIN(INDEX(Tasks[_LeafLateStart],Tasks[[#This Row],[_Row]]+1):INDEX(Tasks[_LeafLateStart],Tasks[[#This Row],[_Row]]+Tasks[[#This Row],[_Descendants]])),Tasks[[#This Row],[_LeafLateStart]]))</f>
        <v/>
      </c>
      <c r="AU18" s="62" t="str">
        <f aca="false">IF(Tasks[[#This Row],[Task Name]]="","",IF(Tasks[[#This Row],[_IsSummary]],MAX(INDEX(Tasks[_LeafLateFinish],Tasks[[#This Row],[_Row]]+1):INDEX(Tasks[_LeafLateFinish],Tasks[[#This Row],[_Row]]+Tasks[[#This Row],[_Descendants]])),Tasks[[#This Row],[_LeafLateFinish]]))</f>
        <v/>
      </c>
      <c r="AV18" s="46"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4"/>
      <c r="BA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5"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6"/>
      <c r="BJ18" s="22"/>
      <c r="BK18" s="46" t="str">
        <f aca="false">IF(OR(Tasks[[#This Row],[Task Name]]="",Tasks[[#This Row],[Baseline Duration]]=""),"",Tasks[[#This Row],[_SpanDays]]-N(Tasks[[#This Row],[Baseline Duration]]))</f>
        <v/>
      </c>
      <c r="BL18" s="85" t="str">
        <f aca="false">IF(OR(Tasks[[#This Row],[Task Name]]="",Tasks[[#This Row],[Baseline Work]]=""),"",Tasks[[#This Row],[Work]]-N(Tasks[[#This Row],[Baseline Work]]))</f>
        <v/>
      </c>
      <c r="BM18" s="62" t="str">
        <f aca="false">IF(Tasks[[#This Row],[Task Name]]="","",IF(OR(TakeBaseline="Yes",N(Tasks[[#This Row],[Baseline Start]])=0),Tasks[[#This Row],[Start]],Tasks[[#This Row],[Baseline Start]]))</f>
        <v/>
      </c>
      <c r="BN18" s="62"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5" t="str">
        <f aca="false">IF(Tasks[[#This Row],[Task Name]]="","",IF(OR(TakeBaseline="Yes",N(Tasks[[#This Row],[Baseline Work]])=0),Tasks[[#This Row],[Work]],Tasks[[#This Row],[Baseline Work]]))</f>
        <v/>
      </c>
      <c r="BQ18" s="7"/>
      <c r="BR18" s="7"/>
      <c r="BS18" s="22"/>
      <c r="BT18" s="87"/>
      <c r="BU18" s="42" t="str">
        <f aca="false">IF(Tasks[[#This Row],[Task Name]]="","",MAX(1,N(Tasks[[#This Row],[Level]])))</f>
        <v/>
      </c>
      <c r="BV18" s="42" t="n">
        <f aca="false">ROW()-ROW(Tasks[[#Headers],[ID]])</f>
        <v>13</v>
      </c>
      <c r="BW18" s="42" t="n">
        <f aca="false">IF(OR(Tasks[[#This Row],[Task Name]]="",Tasks[[#This Row],[_Level]]&lt;=1),0,IFERROR(LOOKUP(2,1/(Tasks[[#Headers],[_Level]]:Tasks[[#This Row],[_Level]]=Tasks[[#This Row],[_Level]]-1),ROW(Tasks[[#Headers],[_Level]]:Tasks[[#This Row],[_Level]])),0))</f>
        <v>0</v>
      </c>
      <c r="BX18" s="42" t="n">
        <f aca="false">IFERROR(N(INDEX(Tasks[_Level],Tasks[[#This Row],[_Row]]+1)),0)</f>
        <v>0</v>
      </c>
      <c r="BY18" s="88" t="b">
        <f aca="false">AND(Tasks[[#This Row],[Task Name]]&lt;&gt;"",Tasks[[#This Row],[_NextLevel]]&gt;Tasks[[#This Row],[_Level]])</f>
        <v>0</v>
      </c>
      <c r="BZ18" s="42" t="n">
        <f aca="false">IF(Tasks[[#This Row],[_IsSummary]],COUNTIF(Tasks[WBS],Tasks[[#This Row],[WBS]]&amp;".*"),0)</f>
        <v>0</v>
      </c>
      <c r="CA18" s="42" t="n">
        <f aca="false">IF(AND(Tasks[[#This Row],[Task Name]]&lt;&gt;"",NOT(Tasks[[#This Row],[_IsSummary]])),1,0)</f>
        <v>0</v>
      </c>
      <c r="CB18" s="42" t="n">
        <f aca="false">IF(N(Tasks[[#This Row],[_Pred1UID]])=0,0,IFERROR(MATCH(Tasks[[#This Row],[_Pred1UID]],Tasks[UID],0),-1))</f>
        <v>0</v>
      </c>
      <c r="CC18" s="42" t="n">
        <f aca="false">IF(N(Tasks[[#This Row],[_Pred2UID]])=0,0,IFERROR(MATCH(Tasks[[#This Row],[_Pred2UID]],Tasks[UID],0),-1))</f>
        <v>0</v>
      </c>
      <c r="CD18" s="42" t="n">
        <f aca="false">IF(N(Tasks[[#This Row],[_Pred3UID]])=0,0,IFERROR(MATCH(Tasks[[#This Row],[_Pred3UID]],Tasks[UID],0),-1))</f>
        <v>0</v>
      </c>
      <c r="CE18" s="42" t="n">
        <f aca="false">IF(N(Tasks[[#This Row],[_Pred4UID]])=0,0,IFERROR(MATCH(Tasks[[#This Row],[_Pred4UID]],Tasks[UID],0),-1))</f>
        <v>0</v>
      </c>
      <c r="CF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 s="89" t="n">
        <f aca="false">IF(OR(Tasks[[#This Row],[_ConstraintCode]]=2,Tasks[[#This Row],[_ConstraintCode]]=3,Tasks[[#This Row],[_ConstraintCode]]=4,Tasks[[#This Row],[_ConstraintCode]]=6),Tasks[[#This Row],[_ConstraintStart]],0)</f>
        <v>0</v>
      </c>
      <c r="CI18" s="89" t="n">
        <f aca="false">IF(OR(Tasks[[#This Row],[_ConstraintCode]]=2,Tasks[[#This Row],[_ConstraintCode]]=3,Tasks[[#This Row],[_ConstraintCode]]=5,Tasks[[#This Row],[_ConstraintCode]]=7),Tasks[[#This Row],[_ConstraintStart]],2958465)</f>
        <v>2958465</v>
      </c>
      <c r="CJ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 s="89" t="str">
        <f aca="false">IF(NOT(Tasks[[#This Row],[_IsLeaf]]=1),"",IF(N(Tasks[[#This Row],[_Days]])&lt;=0,Tasks[[#This Row],[_LeafCalcStart]],WORKDAY.INTL(Tasks[[#This Row],[_LeafCalcStart]],Tasks[[#This Row],[_Days]]-1,WorkWeek,Holidays)))</f>
        <v/>
      </c>
      <c r="CL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 s="42" t="str">
        <f aca="false">IF(Tasks[[#This Row],[_Predecessors]]="","",TRIM(MID(SUBSTITUTE(SUBSTITUTE(SUBSTITUTE(UPPER(Tasks[[#This Row],[_Predecessors]]),";",",")," ",""),",",REPT(" ",99)),1,99)))</f>
        <v/>
      </c>
      <c r="CO18" s="42" t="str">
        <f aca="false">IF(Tasks[[#This Row],[_Pred1Text]]="","",IFERROR(VALUE(LEFT(Tasks[[#This Row],[_Pred1Text]],MIN(FIND("F",Tasks[[#This Row],[_Pred1Text]]&amp;"F"),FIND("S",Tasks[[#This Row],[_Pred1Text]]&amp;"S"),FIND("+",Tasks[[#This Row],[_Pred1Text]]&amp;"+"),FIND("-",Tasks[[#This Row],[_Pred1Text]]&amp;"-"))-1)),""))</f>
        <v/>
      </c>
      <c r="CP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 s="42" t="str">
        <f aca="false">IF(Tasks[[#This Row],[_Pred1Text]]="","",TRIM(MID(SUBSTITUTE(SUBSTITUTE(SUBSTITUTE(UPPER(Tasks[[#This Row],[_Predecessors]]),";",",")," ",""),",",REPT(" ",99)),100,99)))</f>
        <v/>
      </c>
      <c r="CS18" s="42" t="str">
        <f aca="false">IF(Tasks[[#This Row],[_Pred2Text]]="","",IFERROR(VALUE(LEFT(Tasks[[#This Row],[_Pred2Text]],MIN(FIND("F",Tasks[[#This Row],[_Pred2Text]]&amp;"F"),FIND("S",Tasks[[#This Row],[_Pred2Text]]&amp;"S"),FIND("+",Tasks[[#This Row],[_Pred2Text]]&amp;"+"),FIND("-",Tasks[[#This Row],[_Pred2Text]]&amp;"-"))-1)),""))</f>
        <v/>
      </c>
      <c r="CT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 s="42" t="str">
        <f aca="false">IF(Tasks[[#This Row],[_Pred2Text]]="","",TRIM(MID(SUBSTITUTE(SUBSTITUTE(SUBSTITUTE(UPPER(Tasks[[#This Row],[_Predecessors]]),";",",")," ",""),",",REPT(" ",99)),199,99)))</f>
        <v/>
      </c>
      <c r="CW18" s="42" t="str">
        <f aca="false">IF(Tasks[[#This Row],[_Pred3Text]]="","",IFERROR(VALUE(LEFT(Tasks[[#This Row],[_Pred3Text]],MIN(FIND("F",Tasks[[#This Row],[_Pred3Text]]&amp;"F"),FIND("S",Tasks[[#This Row],[_Pred3Text]]&amp;"S"),FIND("+",Tasks[[#This Row],[_Pred3Text]]&amp;"+"),FIND("-",Tasks[[#This Row],[_Pred3Text]]&amp;"-"))-1)),""))</f>
        <v/>
      </c>
      <c r="CX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 s="42" t="str">
        <f aca="false">IF(Tasks[[#This Row],[_Pred3Text]]="","",TRIM(MID(SUBSTITUTE(SUBSTITUTE(SUBSTITUTE(UPPER(Tasks[[#This Row],[_Predecessors]]),";",",")," ",""),",",REPT(" ",99)),298,99)))</f>
        <v/>
      </c>
      <c r="DA18" s="42" t="str">
        <f aca="false">IF(Tasks[[#This Row],[_Pred4Text]]="","",IFERROR(VALUE(LEFT(Tasks[[#This Row],[_Pred4Text]],MIN(FIND("F",Tasks[[#This Row],[_Pred4Text]]&amp;"F"),FIND("S",Tasks[[#This Row],[_Pred4Text]]&amp;"S"),FIND("+",Tasks[[#This Row],[_Pred4Text]]&amp;"+"),FIND("-",Tasks[[#This Row],[_Pred4Text]]&amp;"-"))-1)),""))</f>
        <v/>
      </c>
      <c r="DB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 s="42" t="str">
        <f aca="false">IF(OR(Tasks[[#This Row],[Task Name]]="",Tasks[[#This Row],[_Resources]]=""),"",TRIM(MID(SUBSTITUTE(Tasks[[#This Row],[_Resources]],",",REPT(" ",99)),1,99)))</f>
        <v/>
      </c>
      <c r="DE18" s="42" t="str">
        <f aca="false">IF(Tasks[[#This Row],[_Res1Text]]="","",TRIM(MID(SUBSTITUTE(Tasks[[#This Row],[_Resources]],",",REPT(" ",99)),100,99)))</f>
        <v/>
      </c>
      <c r="DF18" s="42" t="str">
        <f aca="false">IF(Tasks[[#This Row],[_Res2Text]]="","",TRIM(MID(SUBSTITUTE(Tasks[[#This Row],[_Resources]],",",REPT(" ",99)),199,99)))</f>
        <v/>
      </c>
      <c r="DG18" s="42" t="str">
        <f aca="false">IF(Tasks[[#This Row],[_Res3Text]]="","",TRIM(MID(SUBSTITUTE(Tasks[[#This Row],[_Resources]],",",REPT(" ",99)),298,99)))</f>
        <v/>
      </c>
      <c r="DH18" s="42" t="n">
        <f aca="false">IF(Tasks[[#This Row],[_Res1Text]]="",0,IFERROR(MATCH(TRIM(LEFT(Tasks[[#This Row],[_Res1Text]],FIND("[",Tasks[[#This Row],[_Res1Text]]&amp;"[")-1)),res_Name,0),IFERROR(MATCH(TRIM(LEFT(Tasks[[#This Row],[_Res1Text]],FIND("[",Tasks[[#This Row],[_Res1Text]]&amp;"[")-1)),res_Initials,0),0)))</f>
        <v>0</v>
      </c>
      <c r="DI18" s="42" t="n">
        <f aca="false">IF(Tasks[[#This Row],[_Res2Text]]="",0,IFERROR(MATCH(TRIM(LEFT(Tasks[[#This Row],[_Res2Text]],FIND("[",Tasks[[#This Row],[_Res2Text]]&amp;"[")-1)),res_Name,0),IFERROR(MATCH(TRIM(LEFT(Tasks[[#This Row],[_Res2Text]],FIND("[",Tasks[[#This Row],[_Res2Text]]&amp;"[")-1)),res_Initials,0),0)))</f>
        <v>0</v>
      </c>
      <c r="DJ18" s="42" t="n">
        <f aca="false">IF(Tasks[[#This Row],[_Res3Text]]="",0,IFERROR(MATCH(TRIM(LEFT(Tasks[[#This Row],[_Res3Text]],FIND("[",Tasks[[#This Row],[_Res3Text]]&amp;"[")-1)),res_Name,0),IFERROR(MATCH(TRIM(LEFT(Tasks[[#This Row],[_Res3Text]],FIND("[",Tasks[[#This Row],[_Res3Text]]&amp;"[")-1)),res_Initials,0),0)))</f>
        <v>0</v>
      </c>
      <c r="DK18" s="42" t="n">
        <f aca="false">IF(Tasks[[#This Row],[_Res4Text]]="",0,IFERROR(MATCH(TRIM(LEFT(Tasks[[#This Row],[_Res4Text]],FIND("[",Tasks[[#This Row],[_Res4Text]]&amp;"[")-1)),res_Name,0),IFERROR(MATCH(TRIM(LEFT(Tasks[[#This Row],[_Res4Text]],FIND("[",Tasks[[#This Row],[_Res4Text]]&amp;"[")-1)),res_Initials,0),0)))</f>
        <v>0</v>
      </c>
      <c r="DL18" s="42" t="str">
        <f aca="false">IF(Tasks[[#This Row],[_Res1Text]]="","",IF(Tasks[[#This Row],[_Res1Row]]&gt;0,INDEX(res_Name,Tasks[[#This Row],[_Res1Row]]),TRIM(LEFT(Tasks[[#This Row],[_Res1Text]],FIND("[",Tasks[[#This Row],[_Res1Text]]&amp;"[")-1))))</f>
        <v/>
      </c>
      <c r="DM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 s="42" t="n">
        <f aca="false">IF(NOT(Tasks[[#This Row],[_IsLeaf]]=1),0,(Tasks[[#This Row],[_Resource1]]&lt;&gt;"")+(Tasks[[#This Row],[_Res2]]&lt;&gt;"")+(Tasks[[#This Row],[_Res3]]&lt;&gt;"")+(Tasks[[#This Row],[_Res4]]&lt;&gt;""))</f>
        <v>0</v>
      </c>
      <c r="DO18" s="42" t="str">
        <f aca="false">IF(Tasks[[#This Row],[_Res2Text]]="","",IF(Tasks[[#This Row],[_Res2Row]]&gt;0,INDEX(res_Name,Tasks[[#This Row],[_Res2Row]]),TRIM(LEFT(Tasks[[#This Row],[_Res2Text]],FIND("[",Tasks[[#This Row],[_Res2Text]]&amp;"[")-1))))</f>
        <v/>
      </c>
      <c r="DP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 s="42" t="n">
        <f aca="false">IF(OR(NOT(Tasks[[#This Row],[_IsLeaf]]=1),Tasks[[#This Row],[_Res2Row]]=0),0,N(Tasks[[#This Row],[_Days]])*HoursPerDay*IF(Tasks[[#This Row],[_Res2Units]]="",DefaultUnits,Tasks[[#This Row],[_Res2Units]]))</f>
        <v>0</v>
      </c>
      <c r="DR18" s="42" t="n">
        <f aca="false">IF(AND(AND(Tasks[[#This Row],[_IsLeaf]]=1,Tasks[[#This Row],[_LeafTotalWork]]&gt;0),Tasks[[#This Row],[_Res2Work]]&gt;0),Tasks[[#This Row],[_Res2Work]]/(Tasks[[#This Row],[_FinishWorkday]]-Tasks[[#This Row],[_StartWorkday]]+1),0)</f>
        <v>0</v>
      </c>
      <c r="DS18" s="42" t="n">
        <f aca="false">Tasks[[#This Row],[_Res2WorkPerWD]]*MAX(0,Tasks[[#This Row],[_StartWorkday]]-1)</f>
        <v>0</v>
      </c>
      <c r="DT18" s="42" t="n">
        <f aca="false">Tasks[[#This Row],[_Res2Work]]*Tasks[[#This Row],[_LeafProgress]]</f>
        <v>0</v>
      </c>
      <c r="DU18" s="42" t="str">
        <f aca="false">IF(Tasks[[#This Row],[_Res3Text]]="","",IF(Tasks[[#This Row],[_Res3Row]]&gt;0,INDEX(res_Name,Tasks[[#This Row],[_Res3Row]]),TRIM(LEFT(Tasks[[#This Row],[_Res3Text]],FIND("[",Tasks[[#This Row],[_Res3Text]]&amp;"[")-1))))</f>
        <v/>
      </c>
      <c r="DV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 s="42" t="n">
        <f aca="false">IF(OR(NOT(Tasks[[#This Row],[_IsLeaf]]=1),Tasks[[#This Row],[_Res3Row]]=0),0,N(Tasks[[#This Row],[_Days]])*HoursPerDay*IF(Tasks[[#This Row],[_Res3Units]]="",DefaultUnits,Tasks[[#This Row],[_Res3Units]]))</f>
        <v>0</v>
      </c>
      <c r="DX18" s="42" t="n">
        <f aca="false">IF(AND(AND(Tasks[[#This Row],[_IsLeaf]]=1,Tasks[[#This Row],[_LeafTotalWork]]&gt;0),Tasks[[#This Row],[_Res3Work]]&gt;0),Tasks[[#This Row],[_Res3Work]]/(Tasks[[#This Row],[_FinishWorkday]]-Tasks[[#This Row],[_StartWorkday]]+1),0)</f>
        <v>0</v>
      </c>
      <c r="DY18" s="42" t="n">
        <f aca="false">Tasks[[#This Row],[_Res3WorkPerWD]]*MAX(0,Tasks[[#This Row],[_StartWorkday]]-1)</f>
        <v>0</v>
      </c>
      <c r="DZ18" s="42" t="n">
        <f aca="false">Tasks[[#This Row],[_Res3Work]]*Tasks[[#This Row],[_LeafProgress]]</f>
        <v>0</v>
      </c>
      <c r="EA18" s="42" t="str">
        <f aca="false">IF(Tasks[[#This Row],[_Res4Text]]="","",IF(Tasks[[#This Row],[_Res4Row]]&gt;0,INDEX(res_Name,Tasks[[#This Row],[_Res4Row]]),TRIM(LEFT(Tasks[[#This Row],[_Res4Text]],FIND("[",Tasks[[#This Row],[_Res4Text]]&amp;"[")-1))))</f>
        <v/>
      </c>
      <c r="EB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 s="42" t="n">
        <f aca="false">IF(OR(NOT(Tasks[[#This Row],[_IsLeaf]]=1),Tasks[[#This Row],[_Res4Row]]=0),0,N(Tasks[[#This Row],[_Days]])*HoursPerDay*IF(Tasks[[#This Row],[_Res4Units]]="",DefaultUnits,Tasks[[#This Row],[_Res4Units]]))</f>
        <v>0</v>
      </c>
      <c r="ED18" s="42" t="n">
        <f aca="false">IF(AND(AND(Tasks[[#This Row],[_IsLeaf]]=1,Tasks[[#This Row],[_LeafTotalWork]]&gt;0),Tasks[[#This Row],[_Res4Work]]&gt;0),Tasks[[#This Row],[_Res4Work]]/(Tasks[[#This Row],[_FinishWorkday]]-Tasks[[#This Row],[_StartWorkday]]+1),0)</f>
        <v>0</v>
      </c>
      <c r="EE18" s="42" t="n">
        <f aca="false">Tasks[[#This Row],[_Res4WorkPerWD]]*MAX(0,Tasks[[#This Row],[_StartWorkday]]-1)</f>
        <v>0</v>
      </c>
      <c r="EF18" s="42" t="n">
        <f aca="false">Tasks[[#This Row],[_Res4Work]]*Tasks[[#This Row],[_LeafProgress]]</f>
        <v>0</v>
      </c>
      <c r="EG18" s="42" t="n">
        <f aca="false">IF(ISNUMBER(Tasks[[#This Row],[% Complete]]),Tasks[[#This Row],[% Complete]],IF(Tasks[[#This Row],[Stage]]="",0,IFERROR(INDEX(stg_Pct,MATCH(Tasks[[#This Row],[Stage]],stg_Name,0)),0)))</f>
        <v>0</v>
      </c>
      <c r="EH18" s="42" t="n">
        <f aca="false">IF(NOT(Tasks[[#This Row],[_IsLeaf]]=1),0,IF(N(Tasks[[#This Row],[Actual Finish]])&gt;0,1,MIN(1,Tasks[[#This Row],[_Pct]])))</f>
        <v>0</v>
      </c>
      <c r="EI18" s="42" t="n">
        <f aca="false">IF(OR(NOT(Tasks[[#This Row],[_IsLeaf]]=1),Tasks[[#This Row],[_Res1Row]]=0),0,N(Tasks[[#This Row],[_Days]])*HoursPerDay*IF(Tasks[[#This Row],[_Units1]]="",DefaultUnits,Tasks[[#This Row],[_Units1]]))</f>
        <v>0</v>
      </c>
      <c r="EJ18" s="42" t="n">
        <f aca="false">Tasks[[#This Row],[_LeafWork]]+Tasks[[#This Row],[_Res2Work]]+Tasks[[#This Row],[_Res3Work]]+Tasks[[#This Row],[_Res4Work]]</f>
        <v>0</v>
      </c>
      <c r="EK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 s="42" t="n">
        <f aca="false">IF(NOT(Tasks[[#This Row],[_IsLeaf]]=1),0,MAX(_xlfn.MAXIFS(Tasks[_Row],Tasks[_Pred1UID],Tasks[[#This Row],[UID]]),_xlfn.MAXIFS(Tasks[_Row],Tasks[_Pred2UID],Tasks[[#This Row],[UID]]),_xlfn.MAXIFS(Tasks[_Row],Tasks[_Pred3UID],Tasks[[#This Row],[UID]]),_xlfn.MAXIFS(Tasks[_Row],Tasks[_Pred4UID],Tasks[[#This Row],[UID]])))</f>
        <v>0</v>
      </c>
      <c r="ET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 s="89" t="str">
        <f aca="false">IF(NOT(Tasks[[#This Row],[_IsLeaf]]=1),"",IF(N(Tasks[[#This Row],[_Days]])&lt;=0,Tasks[[#This Row],[_LeafLateFinish]],WORKDAY.INTL(Tasks[[#This Row],[_LeafLateFinish]],-(Tasks[[#This Row],[_Days]]-1),WorkWeek,Holidays)))</f>
        <v/>
      </c>
      <c r="EW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 s="88" t="b">
        <f aca="false">AND(Tasks[[#This Row],[_IsLeaf]]=1,Tasks[[#This Row],[_LeafProgress]]&lt;1,N(Tasks[[#This Row],[_LeafTotalSlack]])&lt;=CriticalSlackDays)</f>
        <v>0</v>
      </c>
      <c r="EY18" s="42" t="n">
        <f aca="false">IF(AND(Tasks[[#This Row],[_IsLeaf]]=1,Tasks[[#This Row],[_ConstraintCode]]=1,Tasks[[#This Row],[Mode]]&lt;&gt;"Manual",N(Tasks[[#This Row],[Actual Start]])=0),MAX(0,N(Tasks[[#This Row],[Free Slack]])),0)</f>
        <v>0</v>
      </c>
      <c r="EZ18" s="89" t="str">
        <f aca="false">IF(NOT(Tasks[[#This Row],[_IsLeaf]]=1),"",IF(Tasks[[#This Row],[_AlapShift]]=0,Tasks[[#This Row],[_LeafCalcStart]],WORKDAY.INTL(Tasks[[#This Row],[_LeafCalcStart]],Tasks[[#This Row],[_AlapShift]],WorkWeek,Holidays)))</f>
        <v/>
      </c>
      <c r="FA18" s="89" t="str">
        <f aca="false">IF(NOT(Tasks[[#This Row],[_IsLeaf]]=1),"",IF(Tasks[[#This Row],[_AlapShift]]=0,Tasks[[#This Row],[_LeafCalcFinish]],WORKDAY.INTL(Tasks[[#This Row],[_LeafCalcFinish]],Tasks[[#This Row],[_AlapShift]],WorkWeek,Holidays)))</f>
        <v/>
      </c>
      <c r="FB18" s="89" t="str">
        <f aca="false">IF(NOT(Tasks[[#This Row],[_IsLeaf]]=1),"",IF(Tasks[[#This Row],[_AlapShift]]=0,Tasks[[#This Row],[_LeafFcstStart]],WORKDAY.INTL(Tasks[[#This Row],[_LeafFcstStart]],Tasks[[#This Row],[_AlapShift]],WorkWeek,Holidays)))</f>
        <v/>
      </c>
      <c r="FC18" s="89" t="str">
        <f aca="false">IF(NOT(Tasks[[#This Row],[_IsLeaf]]=1),"",IF(Tasks[[#This Row],[_AlapShift]]=0,Tasks[[#This Row],[_LeafFcstFinish]],WORKDAY.INTL(Tasks[[#This Row],[_LeafFcstFinish]],Tasks[[#This Row],[_AlapShift]],WorkWeek,Holidays)))</f>
        <v/>
      </c>
      <c r="FD18" s="89" t="str">
        <f aca="false">IF(Tasks[[#This Row],[Task Name]]="","",IF(Tasks[[#This Row],[_IsSummary]],MIN(INDEX(Tasks[_ShownCalcStart],Tasks[[#This Row],[_Row]]+1):INDEX(Tasks[_ShownCalcStart],Tasks[[#This Row],[_Row]]+Tasks[[#This Row],[_Descendants]])),Tasks[[#This Row],[_ShownCalcStart]]))</f>
        <v/>
      </c>
      <c r="FE18" s="89" t="str">
        <f aca="false">IF(Tasks[[#This Row],[Task Name]]="","",IF(Tasks[[#This Row],[_IsSummary]],MAX(INDEX(Tasks[_ShownCalcFinish],Tasks[[#This Row],[_Row]]+1):INDEX(Tasks[_ShownCalcFinish],Tasks[[#This Row],[_Row]]+Tasks[[#This Row],[_Descendants]])),Tasks[[#This Row],[_ShownCalcFinish]]))</f>
        <v/>
      </c>
      <c r="FF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 s="42" t="n">
        <f aca="false">IF(AND(Tasks[[#This Row],[_IsLeaf]]=1,Tasks[[#This Row],[_LeafTotalWork]]&gt;0),NETWORKDAYS.INTL(ProjectStart,Tasks[[#This Row],[_ShownFcstStart]],WorkWeek,Holidays),0)</f>
        <v>0</v>
      </c>
      <c r="FS18" s="42" t="n">
        <f aca="false">IF(AND(Tasks[[#This Row],[_IsLeaf]]=1,Tasks[[#This Row],[_LeafTotalWork]]&gt;0),MAX(Tasks[[#This Row],[_StartWorkday]],NETWORKDAYS.INTL(ProjectStart,Tasks[[#This Row],[_ShownFcstFinish]],WorkWeek,Holidays)),0)</f>
        <v>0</v>
      </c>
      <c r="FT18" s="42" t="n">
        <f aca="false">IF(AND(Tasks[[#This Row],[_IsLeaf]]=1,Tasks[[#This Row],[_LeafTotalWork]]&gt;0),Tasks[[#This Row],[_LeafWork]]/(Tasks[[#This Row],[_FinishWorkday]]-Tasks[[#This Row],[_StartWorkday]]+1),0)</f>
        <v>0</v>
      </c>
      <c r="FU18" s="42" t="n">
        <f aca="false">Tasks[[#This Row],[_WorkPerWorkday]]*(Tasks[[#This Row],[_StartWorkday]]-1)</f>
        <v>-0</v>
      </c>
      <c r="FV18" s="42" t="n">
        <f aca="false">IF(Tasks[[#This Row],[_IsLeaf]]=1,MAX(N(Tasks[[#This Row],[_Days]]),0.1),0)</f>
        <v>0</v>
      </c>
      <c r="FW18" s="42" t="n">
        <f aca="false">Tasks[[#This Row],[_WeightDur]]*Tasks[[#This Row],[_LeafProgress]]</f>
        <v>0</v>
      </c>
      <c r="FX18" s="42" t="n">
        <f aca="false">Tasks[[#This Row],[_WeightDur]]*Tasks[[#This Row],[_PlannedPct]]</f>
        <v>0</v>
      </c>
      <c r="FY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 s="42" t="str">
        <f aca="false">IF(AND(Tasks[[#This Row],[_IsLeaf]]=1,N(Tasks[[#This Row],[_Days]])=0,Tasks[[#This Row],[_LeafProgress]]&lt;1),Tasks[[#This Row],[_ShownFcstFinish]]+Tasks[[#This Row],[_Row]]/100000,"")</f>
        <v/>
      </c>
      <c r="GA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 s="42" t="str">
        <f aca="false">IF(Tasks[[#This Row],[Task Name]]="","",LEFT(Tasks[[#This Row],[WBS]],FIND(".",Tasks[[#This Row],[WBS]]&amp;".")-1))</f>
        <v/>
      </c>
      <c r="GC18" s="42" t="str">
        <f aca="false">IF(AND(Tasks[[#This Row],[Task Name]]&lt;&gt;"",Tasks[[#This Row],[_Level]]=1),Tasks[[#This Row],[_Row]],"")</f>
        <v/>
      </c>
      <c r="GD18" s="42" t="str">
        <f aca="false">IF(AND(Tasks[[#This Row],[_IsLeaf]]=1,N(Tasks[[#This Row],[_Days]])=0),Tasks[[#This Row],[Planned Finish]]+Tasks[[#This Row],[_Row]]/100000,"")</f>
        <v/>
      </c>
      <c r="GE18" s="42" t="str">
        <f aca="false">IF(AND(Tasks[[#This Row],[_IsLeaf]]=1,Tasks[[#This Row],[_LeafProgress]]&lt;1,OR(N(Tasks[[#This Row],[Finish Var]])&gt;0,Tasks[[#This Row],[Status]]="Late Start")),MAX(0,Tasks[[#This Row],[Finish Var]])+1-Tasks[[#This Row],[_Row]]/1000000,"")</f>
        <v/>
      </c>
      <c r="GF18" s="42" t="str">
        <f aca="false">IF(AND(Tasks[[#This Row],[_IsLeaf]]=1,N(Tasks[[#This Row],[Actual Start]])=0,Tasks[[#This Row],[_ShownFcstStart]]&gt;=StatusDate,Tasks[[#This Row],[_ShownFcstStart]]&lt;=LookaheadEnd),Tasks[[#This Row],[_ShownFcstStart]]+Tasks[[#This Row],[_Row]]/100000,"")</f>
        <v/>
      </c>
      <c r="GG18" s="42" t="str">
        <f aca="false">IF(AND(Tasks[[#This Row],[_IsLeaf]]=1,Tasks[[#This Row],[_LeafProgress]]&lt;1,Tasks[[#This Row],[_ShownFcstFinish]]&gt;=StatusDate,Tasks[[#This Row],[_ShownFcstFinish]]&lt;=LookaheadEnd),Tasks[[#This Row],[_ShownFcstFinish]]+Tasks[[#This Row],[_Row]]/100000,"")</f>
        <v/>
      </c>
      <c r="GH18" s="42" t="str">
        <f aca="false">IF(Tasks[[#This Row],[_LeafCritical]],Tasks[[#This Row],[_ShownFcstStart]]+Tasks[[#This Row],[_Row]]/100000,"")</f>
        <v/>
      </c>
      <c r="GI18" s="42" t="n">
        <f aca="false">Tasks[[#This Row],[_LeafWork]]*Tasks[[#This Row],[_LeafProgress]]</f>
        <v>0</v>
      </c>
      <c r="GJ18" s="89" t="str">
        <f aca="false">IF(AND(Tasks[[#This Row],[_IsLeaf]]=1,Tasks[[#This Row],[_LeafProgress]]&gt;=1),IF(N(Tasks[[#This Row],[Actual Finish]])&gt;0,Tasks[[#This Row],[Actual Finish]],Tasks[[#This Row],[_ShownFcstFinish]]),"")</f>
        <v/>
      </c>
      <c r="GK18" s="42" t="n">
        <f aca="false">IF(Tasks[[#This Row],[_IsLeaf]]=1,N(Tasks[[#This Row],[Story Points]]),0)</f>
        <v>0</v>
      </c>
      <c r="GL18" s="42" t="str">
        <f aca="false">""</f>
        <v/>
      </c>
      <c r="GM18" s="88" t="b">
        <f aca="false">IF(Tasks[[#This Row],[Task Name]]="",FALSE(),AND(Tasks[[#This Row],[_IsLeaf]]=1,N(Tasks[[#This Row],[_Days]])=0))</f>
        <v>0</v>
      </c>
      <c r="GN18" s="89" t="n">
        <f aca="false">IF(Tasks[[#This Row],[Task Name]]="",0,IF(AND(Tasks[[#This Row],[_IsLeaf]]=1,NOT(Tasks[[#This Row],[_IsMilestone]]),N(Tasks[[#This Row],[Progress]])&gt;0),Tasks[[#This Row],[Start]],0))</f>
        <v>0</v>
      </c>
      <c r="GO18" s="89" t="n">
        <f aca="false">IF(Tasks[[#This Row],[_DoneFrom]]=0,0,IF(Tasks[[#This Row],[Progress]]&gt;=1,Tasks[[#This Row],[Finish]],MAX(Tasks[[#This Row],[_DoneFrom]],Tasks[[#This Row],[Start]]+ROUND((Tasks[[#This Row],[Finish]]-Tasks[[#This Row],[Start]]+1)*Tasks[[#This Row],[Progress]],0)-1)))</f>
        <v>0</v>
      </c>
      <c r="GP18" s="89" t="n">
        <f aca="false">IF(Tasks[[#This Row],[Task Name]]="",0,IF(OR(NOT(Tasks[[#This Row],[_IsLeaf]]=1),Tasks[[#This Row],[_IsMilestone]],N(Tasks[[#This Row],[Progress]])&gt;=1),0,IF(Tasks[[#This Row],[_DoneTo]]&gt;0,Tasks[[#This Row],[_DoneTo]]+1,Tasks[[#This Row],[Start]])))</f>
        <v>0</v>
      </c>
      <c r="GQ18" s="89" t="n">
        <f aca="false">IF(Tasks[[#This Row],[_RemFrom]]=0,0,Tasks[[#This Row],[Finish]])</f>
        <v>0</v>
      </c>
      <c r="GR18" s="88" t="b">
        <f aca="false">IF(Tasks[[#This Row],[Task Name]]="",FALSE(),OR(NOT(BaselineSet),N(Tasks[[#This Row],[Baseline Start]])&gt;0))</f>
        <v>0</v>
      </c>
      <c r="GS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 s="90" t="str">
        <f aca="false">IF(Tasks[[#This Row],[_IsLeaf]]=1,Tasks[[#This Row],[_Row]],"")</f>
        <v/>
      </c>
      <c r="GW18" s="90" t="str">
        <f aca="false">IFERROR(INDEX(Tasks[UID],SMALL(Tasks[_PickKey],Tasks[[#This Row],[_Row]]))&amp;" "&amp;INDEX(Tasks[Task Name],SMALL(Tasks[_PickKey],Tasks[[#This Row],[_Row]])),"")</f>
        <v/>
      </c>
      <c r="GX18" s="42" t="str">
        <f aca="false">IF(Tasks[[#This Row],[Task Name]]="","",IF(Tasks[[#This Row],[_IsSummary]],NETWORKDAYS.INTL(Tasks[[#This Row],[Start]],Tasks[[#This Row],[Finish]],WorkWeek,Holidays),N(Tasks[[#This Row],[_Days]])))</f>
        <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3"/>
      <c r="U19" s="23"/>
      <c r="V19" s="83"/>
      <c r="W19" s="23"/>
      <c r="X19" s="83"/>
      <c r="Y19" s="23"/>
      <c r="Z19" s="83"/>
      <c r="AA19" s="23"/>
      <c r="AB19" s="23"/>
      <c r="AC19" s="7"/>
      <c r="AD19" s="7"/>
      <c r="AE19" s="62" t="str">
        <f aca="false">IF(Tasks[[#This Row],[Task Name]]="","",IF(Tasks[[#This Row],[_IsSummary]],MIN(INDEX(Tasks[_ShownFcstStart],Tasks[[#This Row],[_Row]]+1):INDEX(Tasks[_ShownFcstStart],Tasks[[#This Row],[_Row]]+Tasks[[#This Row],[_Descendants]])),Tasks[[#This Row],[_ShownFcstStart]]))</f>
        <v/>
      </c>
      <c r="AF19" s="62"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 s="7"/>
      <c r="AK19" s="22"/>
      <c r="AL19" s="23"/>
      <c r="AM19" s="7"/>
      <c r="AN19" s="46"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2" t="str">
        <f aca="false">IF(Tasks[[#This Row],[Task Name]]="","",IF(N(Tasks[[#This Row],[Baseline Start]])&gt;0,Tasks[[#This Row],[Baseline Start]],Tasks[[#This Row],[_CalcStart]]))</f>
        <v/>
      </c>
      <c r="AR19" s="62" t="str">
        <f aca="false">IF(Tasks[[#This Row],[Task Name]]="","",IF(N(Tasks[[#This Row],[Baseline Finish]])&gt;0,Tasks[[#This Row],[Baseline Finish]],Tasks[[#This Row],[_CalcFinish]]))</f>
        <v/>
      </c>
      <c r="AS19" s="46" t="str">
        <f aca="false">IF(Tasks[[#This Row],[Task Name]]="","",IF(Tasks[[#This Row],[Start]]&gt;=Tasks[[#This Row],[Planned Start]],NETWORKDAYS.INTL(Tasks[[#This Row],[Planned Start]],Tasks[[#This Row],[Start]],WorkWeek,Holidays)-1,1-NETWORKDAYS.INTL(Tasks[[#This Row],[Start]],Tasks[[#This Row],[Planned Start]],WorkWeek,Holidays)))</f>
        <v/>
      </c>
      <c r="AT19" s="62" t="str">
        <f aca="false">IF(Tasks[[#This Row],[Task Name]]="","",IF(Tasks[[#This Row],[_IsSummary]],MIN(INDEX(Tasks[_LeafLateStart],Tasks[[#This Row],[_Row]]+1):INDEX(Tasks[_LeafLateStart],Tasks[[#This Row],[_Row]]+Tasks[[#This Row],[_Descendants]])),Tasks[[#This Row],[_LeafLateStart]]))</f>
        <v/>
      </c>
      <c r="AU19" s="62" t="str">
        <f aca="false">IF(Tasks[[#This Row],[Task Name]]="","",IF(Tasks[[#This Row],[_IsSummary]],MAX(INDEX(Tasks[_LeafLateFinish],Tasks[[#This Row],[_Row]]+1):INDEX(Tasks[_LeafLateFinish],Tasks[[#This Row],[_Row]]+Tasks[[#This Row],[_Descendants]])),Tasks[[#This Row],[_LeafLateFinish]]))</f>
        <v/>
      </c>
      <c r="AV19" s="46"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4"/>
      <c r="BA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5"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6"/>
      <c r="BJ19" s="22"/>
      <c r="BK19" s="46" t="str">
        <f aca="false">IF(OR(Tasks[[#This Row],[Task Name]]="",Tasks[[#This Row],[Baseline Duration]]=""),"",Tasks[[#This Row],[_SpanDays]]-N(Tasks[[#This Row],[Baseline Duration]]))</f>
        <v/>
      </c>
      <c r="BL19" s="85" t="str">
        <f aca="false">IF(OR(Tasks[[#This Row],[Task Name]]="",Tasks[[#This Row],[Baseline Work]]=""),"",Tasks[[#This Row],[Work]]-N(Tasks[[#This Row],[Baseline Work]]))</f>
        <v/>
      </c>
      <c r="BM19" s="62" t="str">
        <f aca="false">IF(Tasks[[#This Row],[Task Name]]="","",IF(OR(TakeBaseline="Yes",N(Tasks[[#This Row],[Baseline Start]])=0),Tasks[[#This Row],[Start]],Tasks[[#This Row],[Baseline Start]]))</f>
        <v/>
      </c>
      <c r="BN19" s="62"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5" t="str">
        <f aca="false">IF(Tasks[[#This Row],[Task Name]]="","",IF(OR(TakeBaseline="Yes",N(Tasks[[#This Row],[Baseline Work]])=0),Tasks[[#This Row],[Work]],Tasks[[#This Row],[Baseline Work]]))</f>
        <v/>
      </c>
      <c r="BQ19" s="7"/>
      <c r="BR19" s="7"/>
      <c r="BS19" s="22"/>
      <c r="BT19" s="87"/>
      <c r="BU19" s="42" t="str">
        <f aca="false">IF(Tasks[[#This Row],[Task Name]]="","",MAX(1,N(Tasks[[#This Row],[Level]])))</f>
        <v/>
      </c>
      <c r="BV19" s="42" t="n">
        <f aca="false">ROW()-ROW(Tasks[[#Headers],[ID]])</f>
        <v>14</v>
      </c>
      <c r="BW19" s="42" t="n">
        <f aca="false">IF(OR(Tasks[[#This Row],[Task Name]]="",Tasks[[#This Row],[_Level]]&lt;=1),0,IFERROR(LOOKUP(2,1/(Tasks[[#Headers],[_Level]]:Tasks[[#This Row],[_Level]]=Tasks[[#This Row],[_Level]]-1),ROW(Tasks[[#Headers],[_Level]]:Tasks[[#This Row],[_Level]])),0))</f>
        <v>0</v>
      </c>
      <c r="BX19" s="42" t="n">
        <f aca="false">IFERROR(N(INDEX(Tasks[_Level],Tasks[[#This Row],[_Row]]+1)),0)</f>
        <v>0</v>
      </c>
      <c r="BY19" s="88" t="b">
        <f aca="false">AND(Tasks[[#This Row],[Task Name]]&lt;&gt;"",Tasks[[#This Row],[_NextLevel]]&gt;Tasks[[#This Row],[_Level]])</f>
        <v>0</v>
      </c>
      <c r="BZ19" s="42" t="n">
        <f aca="false">IF(Tasks[[#This Row],[_IsSummary]],COUNTIF(Tasks[WBS],Tasks[[#This Row],[WBS]]&amp;".*"),0)</f>
        <v>0</v>
      </c>
      <c r="CA19" s="42" t="n">
        <f aca="false">IF(AND(Tasks[[#This Row],[Task Name]]&lt;&gt;"",NOT(Tasks[[#This Row],[_IsSummary]])),1,0)</f>
        <v>0</v>
      </c>
      <c r="CB19" s="42" t="n">
        <f aca="false">IF(N(Tasks[[#This Row],[_Pred1UID]])=0,0,IFERROR(MATCH(Tasks[[#This Row],[_Pred1UID]],Tasks[UID],0),-1))</f>
        <v>0</v>
      </c>
      <c r="CC19" s="42" t="n">
        <f aca="false">IF(N(Tasks[[#This Row],[_Pred2UID]])=0,0,IFERROR(MATCH(Tasks[[#This Row],[_Pred2UID]],Tasks[UID],0),-1))</f>
        <v>0</v>
      </c>
      <c r="CD19" s="42" t="n">
        <f aca="false">IF(N(Tasks[[#This Row],[_Pred3UID]])=0,0,IFERROR(MATCH(Tasks[[#This Row],[_Pred3UID]],Tasks[UID],0),-1))</f>
        <v>0</v>
      </c>
      <c r="CE19" s="42" t="n">
        <f aca="false">IF(N(Tasks[[#This Row],[_Pred4UID]])=0,0,IFERROR(MATCH(Tasks[[#This Row],[_Pred4UID]],Tasks[UID],0),-1))</f>
        <v>0</v>
      </c>
      <c r="CF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 s="89" t="n">
        <f aca="false">IF(OR(Tasks[[#This Row],[_ConstraintCode]]=2,Tasks[[#This Row],[_ConstraintCode]]=3,Tasks[[#This Row],[_ConstraintCode]]=4,Tasks[[#This Row],[_ConstraintCode]]=6),Tasks[[#This Row],[_ConstraintStart]],0)</f>
        <v>0</v>
      </c>
      <c r="CI19" s="89" t="n">
        <f aca="false">IF(OR(Tasks[[#This Row],[_ConstraintCode]]=2,Tasks[[#This Row],[_ConstraintCode]]=3,Tasks[[#This Row],[_ConstraintCode]]=5,Tasks[[#This Row],[_ConstraintCode]]=7),Tasks[[#This Row],[_ConstraintStart]],2958465)</f>
        <v>2958465</v>
      </c>
      <c r="CJ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 s="89" t="str">
        <f aca="false">IF(NOT(Tasks[[#This Row],[_IsLeaf]]=1),"",IF(N(Tasks[[#This Row],[_Days]])&lt;=0,Tasks[[#This Row],[_LeafCalcStart]],WORKDAY.INTL(Tasks[[#This Row],[_LeafCalcStart]],Tasks[[#This Row],[_Days]]-1,WorkWeek,Holidays)))</f>
        <v/>
      </c>
      <c r="CL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 s="42" t="str">
        <f aca="false">IF(Tasks[[#This Row],[_Predecessors]]="","",TRIM(MID(SUBSTITUTE(SUBSTITUTE(SUBSTITUTE(UPPER(Tasks[[#This Row],[_Predecessors]]),";",",")," ",""),",",REPT(" ",99)),1,99)))</f>
        <v/>
      </c>
      <c r="CO19" s="42" t="str">
        <f aca="false">IF(Tasks[[#This Row],[_Pred1Text]]="","",IFERROR(VALUE(LEFT(Tasks[[#This Row],[_Pred1Text]],MIN(FIND("F",Tasks[[#This Row],[_Pred1Text]]&amp;"F"),FIND("S",Tasks[[#This Row],[_Pred1Text]]&amp;"S"),FIND("+",Tasks[[#This Row],[_Pred1Text]]&amp;"+"),FIND("-",Tasks[[#This Row],[_Pred1Text]]&amp;"-"))-1)),""))</f>
        <v/>
      </c>
      <c r="CP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 s="42" t="str">
        <f aca="false">IF(Tasks[[#This Row],[_Pred1Text]]="","",TRIM(MID(SUBSTITUTE(SUBSTITUTE(SUBSTITUTE(UPPER(Tasks[[#This Row],[_Predecessors]]),";",",")," ",""),",",REPT(" ",99)),100,99)))</f>
        <v/>
      </c>
      <c r="CS19" s="42" t="str">
        <f aca="false">IF(Tasks[[#This Row],[_Pred2Text]]="","",IFERROR(VALUE(LEFT(Tasks[[#This Row],[_Pred2Text]],MIN(FIND("F",Tasks[[#This Row],[_Pred2Text]]&amp;"F"),FIND("S",Tasks[[#This Row],[_Pred2Text]]&amp;"S"),FIND("+",Tasks[[#This Row],[_Pred2Text]]&amp;"+"),FIND("-",Tasks[[#This Row],[_Pred2Text]]&amp;"-"))-1)),""))</f>
        <v/>
      </c>
      <c r="CT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 s="42" t="str">
        <f aca="false">IF(Tasks[[#This Row],[_Pred2Text]]="","",TRIM(MID(SUBSTITUTE(SUBSTITUTE(SUBSTITUTE(UPPER(Tasks[[#This Row],[_Predecessors]]),";",",")," ",""),",",REPT(" ",99)),199,99)))</f>
        <v/>
      </c>
      <c r="CW19" s="42" t="str">
        <f aca="false">IF(Tasks[[#This Row],[_Pred3Text]]="","",IFERROR(VALUE(LEFT(Tasks[[#This Row],[_Pred3Text]],MIN(FIND("F",Tasks[[#This Row],[_Pred3Text]]&amp;"F"),FIND("S",Tasks[[#This Row],[_Pred3Text]]&amp;"S"),FIND("+",Tasks[[#This Row],[_Pred3Text]]&amp;"+"),FIND("-",Tasks[[#This Row],[_Pred3Text]]&amp;"-"))-1)),""))</f>
        <v/>
      </c>
      <c r="CX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 s="42" t="str">
        <f aca="false">IF(Tasks[[#This Row],[_Pred3Text]]="","",TRIM(MID(SUBSTITUTE(SUBSTITUTE(SUBSTITUTE(UPPER(Tasks[[#This Row],[_Predecessors]]),";",",")," ",""),",",REPT(" ",99)),298,99)))</f>
        <v/>
      </c>
      <c r="DA19" s="42" t="str">
        <f aca="false">IF(Tasks[[#This Row],[_Pred4Text]]="","",IFERROR(VALUE(LEFT(Tasks[[#This Row],[_Pred4Text]],MIN(FIND("F",Tasks[[#This Row],[_Pred4Text]]&amp;"F"),FIND("S",Tasks[[#This Row],[_Pred4Text]]&amp;"S"),FIND("+",Tasks[[#This Row],[_Pred4Text]]&amp;"+"),FIND("-",Tasks[[#This Row],[_Pred4Text]]&amp;"-"))-1)),""))</f>
        <v/>
      </c>
      <c r="DB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 s="42" t="str">
        <f aca="false">IF(OR(Tasks[[#This Row],[Task Name]]="",Tasks[[#This Row],[_Resources]]=""),"",TRIM(MID(SUBSTITUTE(Tasks[[#This Row],[_Resources]],",",REPT(" ",99)),1,99)))</f>
        <v/>
      </c>
      <c r="DE19" s="42" t="str">
        <f aca="false">IF(Tasks[[#This Row],[_Res1Text]]="","",TRIM(MID(SUBSTITUTE(Tasks[[#This Row],[_Resources]],",",REPT(" ",99)),100,99)))</f>
        <v/>
      </c>
      <c r="DF19" s="42" t="str">
        <f aca="false">IF(Tasks[[#This Row],[_Res2Text]]="","",TRIM(MID(SUBSTITUTE(Tasks[[#This Row],[_Resources]],",",REPT(" ",99)),199,99)))</f>
        <v/>
      </c>
      <c r="DG19" s="42" t="str">
        <f aca="false">IF(Tasks[[#This Row],[_Res3Text]]="","",TRIM(MID(SUBSTITUTE(Tasks[[#This Row],[_Resources]],",",REPT(" ",99)),298,99)))</f>
        <v/>
      </c>
      <c r="DH19" s="42" t="n">
        <f aca="false">IF(Tasks[[#This Row],[_Res1Text]]="",0,IFERROR(MATCH(TRIM(LEFT(Tasks[[#This Row],[_Res1Text]],FIND("[",Tasks[[#This Row],[_Res1Text]]&amp;"[")-1)),res_Name,0),IFERROR(MATCH(TRIM(LEFT(Tasks[[#This Row],[_Res1Text]],FIND("[",Tasks[[#This Row],[_Res1Text]]&amp;"[")-1)),res_Initials,0),0)))</f>
        <v>0</v>
      </c>
      <c r="DI19" s="42" t="n">
        <f aca="false">IF(Tasks[[#This Row],[_Res2Text]]="",0,IFERROR(MATCH(TRIM(LEFT(Tasks[[#This Row],[_Res2Text]],FIND("[",Tasks[[#This Row],[_Res2Text]]&amp;"[")-1)),res_Name,0),IFERROR(MATCH(TRIM(LEFT(Tasks[[#This Row],[_Res2Text]],FIND("[",Tasks[[#This Row],[_Res2Text]]&amp;"[")-1)),res_Initials,0),0)))</f>
        <v>0</v>
      </c>
      <c r="DJ19" s="42" t="n">
        <f aca="false">IF(Tasks[[#This Row],[_Res3Text]]="",0,IFERROR(MATCH(TRIM(LEFT(Tasks[[#This Row],[_Res3Text]],FIND("[",Tasks[[#This Row],[_Res3Text]]&amp;"[")-1)),res_Name,0),IFERROR(MATCH(TRIM(LEFT(Tasks[[#This Row],[_Res3Text]],FIND("[",Tasks[[#This Row],[_Res3Text]]&amp;"[")-1)),res_Initials,0),0)))</f>
        <v>0</v>
      </c>
      <c r="DK19" s="42" t="n">
        <f aca="false">IF(Tasks[[#This Row],[_Res4Text]]="",0,IFERROR(MATCH(TRIM(LEFT(Tasks[[#This Row],[_Res4Text]],FIND("[",Tasks[[#This Row],[_Res4Text]]&amp;"[")-1)),res_Name,0),IFERROR(MATCH(TRIM(LEFT(Tasks[[#This Row],[_Res4Text]],FIND("[",Tasks[[#This Row],[_Res4Text]]&amp;"[")-1)),res_Initials,0),0)))</f>
        <v>0</v>
      </c>
      <c r="DL19" s="42" t="str">
        <f aca="false">IF(Tasks[[#This Row],[_Res1Text]]="","",IF(Tasks[[#This Row],[_Res1Row]]&gt;0,INDEX(res_Name,Tasks[[#This Row],[_Res1Row]]),TRIM(LEFT(Tasks[[#This Row],[_Res1Text]],FIND("[",Tasks[[#This Row],[_Res1Text]]&amp;"[")-1))))</f>
        <v/>
      </c>
      <c r="DM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 s="42" t="n">
        <f aca="false">IF(NOT(Tasks[[#This Row],[_IsLeaf]]=1),0,(Tasks[[#This Row],[_Resource1]]&lt;&gt;"")+(Tasks[[#This Row],[_Res2]]&lt;&gt;"")+(Tasks[[#This Row],[_Res3]]&lt;&gt;"")+(Tasks[[#This Row],[_Res4]]&lt;&gt;""))</f>
        <v>0</v>
      </c>
      <c r="DO19" s="42" t="str">
        <f aca="false">IF(Tasks[[#This Row],[_Res2Text]]="","",IF(Tasks[[#This Row],[_Res2Row]]&gt;0,INDEX(res_Name,Tasks[[#This Row],[_Res2Row]]),TRIM(LEFT(Tasks[[#This Row],[_Res2Text]],FIND("[",Tasks[[#This Row],[_Res2Text]]&amp;"[")-1))))</f>
        <v/>
      </c>
      <c r="DP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 s="42" t="n">
        <f aca="false">IF(OR(NOT(Tasks[[#This Row],[_IsLeaf]]=1),Tasks[[#This Row],[_Res2Row]]=0),0,N(Tasks[[#This Row],[_Days]])*HoursPerDay*IF(Tasks[[#This Row],[_Res2Units]]="",DefaultUnits,Tasks[[#This Row],[_Res2Units]]))</f>
        <v>0</v>
      </c>
      <c r="DR19" s="42" t="n">
        <f aca="false">IF(AND(AND(Tasks[[#This Row],[_IsLeaf]]=1,Tasks[[#This Row],[_LeafTotalWork]]&gt;0),Tasks[[#This Row],[_Res2Work]]&gt;0),Tasks[[#This Row],[_Res2Work]]/(Tasks[[#This Row],[_FinishWorkday]]-Tasks[[#This Row],[_StartWorkday]]+1),0)</f>
        <v>0</v>
      </c>
      <c r="DS19" s="42" t="n">
        <f aca="false">Tasks[[#This Row],[_Res2WorkPerWD]]*MAX(0,Tasks[[#This Row],[_StartWorkday]]-1)</f>
        <v>0</v>
      </c>
      <c r="DT19" s="42" t="n">
        <f aca="false">Tasks[[#This Row],[_Res2Work]]*Tasks[[#This Row],[_LeafProgress]]</f>
        <v>0</v>
      </c>
      <c r="DU19" s="42" t="str">
        <f aca="false">IF(Tasks[[#This Row],[_Res3Text]]="","",IF(Tasks[[#This Row],[_Res3Row]]&gt;0,INDEX(res_Name,Tasks[[#This Row],[_Res3Row]]),TRIM(LEFT(Tasks[[#This Row],[_Res3Text]],FIND("[",Tasks[[#This Row],[_Res3Text]]&amp;"[")-1))))</f>
        <v/>
      </c>
      <c r="DV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 s="42" t="n">
        <f aca="false">IF(OR(NOT(Tasks[[#This Row],[_IsLeaf]]=1),Tasks[[#This Row],[_Res3Row]]=0),0,N(Tasks[[#This Row],[_Days]])*HoursPerDay*IF(Tasks[[#This Row],[_Res3Units]]="",DefaultUnits,Tasks[[#This Row],[_Res3Units]]))</f>
        <v>0</v>
      </c>
      <c r="DX19" s="42" t="n">
        <f aca="false">IF(AND(AND(Tasks[[#This Row],[_IsLeaf]]=1,Tasks[[#This Row],[_LeafTotalWork]]&gt;0),Tasks[[#This Row],[_Res3Work]]&gt;0),Tasks[[#This Row],[_Res3Work]]/(Tasks[[#This Row],[_FinishWorkday]]-Tasks[[#This Row],[_StartWorkday]]+1),0)</f>
        <v>0</v>
      </c>
      <c r="DY19" s="42" t="n">
        <f aca="false">Tasks[[#This Row],[_Res3WorkPerWD]]*MAX(0,Tasks[[#This Row],[_StartWorkday]]-1)</f>
        <v>0</v>
      </c>
      <c r="DZ19" s="42" t="n">
        <f aca="false">Tasks[[#This Row],[_Res3Work]]*Tasks[[#This Row],[_LeafProgress]]</f>
        <v>0</v>
      </c>
      <c r="EA19" s="42" t="str">
        <f aca="false">IF(Tasks[[#This Row],[_Res4Text]]="","",IF(Tasks[[#This Row],[_Res4Row]]&gt;0,INDEX(res_Name,Tasks[[#This Row],[_Res4Row]]),TRIM(LEFT(Tasks[[#This Row],[_Res4Text]],FIND("[",Tasks[[#This Row],[_Res4Text]]&amp;"[")-1))))</f>
        <v/>
      </c>
      <c r="EB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 s="42" t="n">
        <f aca="false">IF(OR(NOT(Tasks[[#This Row],[_IsLeaf]]=1),Tasks[[#This Row],[_Res4Row]]=0),0,N(Tasks[[#This Row],[_Days]])*HoursPerDay*IF(Tasks[[#This Row],[_Res4Units]]="",DefaultUnits,Tasks[[#This Row],[_Res4Units]]))</f>
        <v>0</v>
      </c>
      <c r="ED19" s="42" t="n">
        <f aca="false">IF(AND(AND(Tasks[[#This Row],[_IsLeaf]]=1,Tasks[[#This Row],[_LeafTotalWork]]&gt;0),Tasks[[#This Row],[_Res4Work]]&gt;0),Tasks[[#This Row],[_Res4Work]]/(Tasks[[#This Row],[_FinishWorkday]]-Tasks[[#This Row],[_StartWorkday]]+1),0)</f>
        <v>0</v>
      </c>
      <c r="EE19" s="42" t="n">
        <f aca="false">Tasks[[#This Row],[_Res4WorkPerWD]]*MAX(0,Tasks[[#This Row],[_StartWorkday]]-1)</f>
        <v>0</v>
      </c>
      <c r="EF19" s="42" t="n">
        <f aca="false">Tasks[[#This Row],[_Res4Work]]*Tasks[[#This Row],[_LeafProgress]]</f>
        <v>0</v>
      </c>
      <c r="EG19" s="42" t="n">
        <f aca="false">IF(ISNUMBER(Tasks[[#This Row],[% Complete]]),Tasks[[#This Row],[% Complete]],IF(Tasks[[#This Row],[Stage]]="",0,IFERROR(INDEX(stg_Pct,MATCH(Tasks[[#This Row],[Stage]],stg_Name,0)),0)))</f>
        <v>0</v>
      </c>
      <c r="EH19" s="42" t="n">
        <f aca="false">IF(NOT(Tasks[[#This Row],[_IsLeaf]]=1),0,IF(N(Tasks[[#This Row],[Actual Finish]])&gt;0,1,MIN(1,Tasks[[#This Row],[_Pct]])))</f>
        <v>0</v>
      </c>
      <c r="EI19" s="42" t="n">
        <f aca="false">IF(OR(NOT(Tasks[[#This Row],[_IsLeaf]]=1),Tasks[[#This Row],[_Res1Row]]=0),0,N(Tasks[[#This Row],[_Days]])*HoursPerDay*IF(Tasks[[#This Row],[_Units1]]="",DefaultUnits,Tasks[[#This Row],[_Units1]]))</f>
        <v>0</v>
      </c>
      <c r="EJ19" s="42" t="n">
        <f aca="false">Tasks[[#This Row],[_LeafWork]]+Tasks[[#This Row],[_Res2Work]]+Tasks[[#This Row],[_Res3Work]]+Tasks[[#This Row],[_Res4Work]]</f>
        <v>0</v>
      </c>
      <c r="EK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 s="42" t="n">
        <f aca="false">IF(NOT(Tasks[[#This Row],[_IsLeaf]]=1),0,MAX(_xlfn.MAXIFS(Tasks[_Row],Tasks[_Pred1UID],Tasks[[#This Row],[UID]]),_xlfn.MAXIFS(Tasks[_Row],Tasks[_Pred2UID],Tasks[[#This Row],[UID]]),_xlfn.MAXIFS(Tasks[_Row],Tasks[_Pred3UID],Tasks[[#This Row],[UID]]),_xlfn.MAXIFS(Tasks[_Row],Tasks[_Pred4UID],Tasks[[#This Row],[UID]])))</f>
        <v>0</v>
      </c>
      <c r="ET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 s="89" t="str">
        <f aca="false">IF(NOT(Tasks[[#This Row],[_IsLeaf]]=1),"",IF(N(Tasks[[#This Row],[_Days]])&lt;=0,Tasks[[#This Row],[_LeafLateFinish]],WORKDAY.INTL(Tasks[[#This Row],[_LeafLateFinish]],-(Tasks[[#This Row],[_Days]]-1),WorkWeek,Holidays)))</f>
        <v/>
      </c>
      <c r="EW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 s="88" t="b">
        <f aca="false">AND(Tasks[[#This Row],[_IsLeaf]]=1,Tasks[[#This Row],[_LeafProgress]]&lt;1,N(Tasks[[#This Row],[_LeafTotalSlack]])&lt;=CriticalSlackDays)</f>
        <v>0</v>
      </c>
      <c r="EY19" s="42" t="n">
        <f aca="false">IF(AND(Tasks[[#This Row],[_IsLeaf]]=1,Tasks[[#This Row],[_ConstraintCode]]=1,Tasks[[#This Row],[Mode]]&lt;&gt;"Manual",N(Tasks[[#This Row],[Actual Start]])=0),MAX(0,N(Tasks[[#This Row],[Free Slack]])),0)</f>
        <v>0</v>
      </c>
      <c r="EZ19" s="89" t="str">
        <f aca="false">IF(NOT(Tasks[[#This Row],[_IsLeaf]]=1),"",IF(Tasks[[#This Row],[_AlapShift]]=0,Tasks[[#This Row],[_LeafCalcStart]],WORKDAY.INTL(Tasks[[#This Row],[_LeafCalcStart]],Tasks[[#This Row],[_AlapShift]],WorkWeek,Holidays)))</f>
        <v/>
      </c>
      <c r="FA19" s="89" t="str">
        <f aca="false">IF(NOT(Tasks[[#This Row],[_IsLeaf]]=1),"",IF(Tasks[[#This Row],[_AlapShift]]=0,Tasks[[#This Row],[_LeafCalcFinish]],WORKDAY.INTL(Tasks[[#This Row],[_LeafCalcFinish]],Tasks[[#This Row],[_AlapShift]],WorkWeek,Holidays)))</f>
        <v/>
      </c>
      <c r="FB19" s="89" t="str">
        <f aca="false">IF(NOT(Tasks[[#This Row],[_IsLeaf]]=1),"",IF(Tasks[[#This Row],[_AlapShift]]=0,Tasks[[#This Row],[_LeafFcstStart]],WORKDAY.INTL(Tasks[[#This Row],[_LeafFcstStart]],Tasks[[#This Row],[_AlapShift]],WorkWeek,Holidays)))</f>
        <v/>
      </c>
      <c r="FC19" s="89" t="str">
        <f aca="false">IF(NOT(Tasks[[#This Row],[_IsLeaf]]=1),"",IF(Tasks[[#This Row],[_AlapShift]]=0,Tasks[[#This Row],[_LeafFcstFinish]],WORKDAY.INTL(Tasks[[#This Row],[_LeafFcstFinish]],Tasks[[#This Row],[_AlapShift]],WorkWeek,Holidays)))</f>
        <v/>
      </c>
      <c r="FD19" s="89" t="str">
        <f aca="false">IF(Tasks[[#This Row],[Task Name]]="","",IF(Tasks[[#This Row],[_IsSummary]],MIN(INDEX(Tasks[_ShownCalcStart],Tasks[[#This Row],[_Row]]+1):INDEX(Tasks[_ShownCalcStart],Tasks[[#This Row],[_Row]]+Tasks[[#This Row],[_Descendants]])),Tasks[[#This Row],[_ShownCalcStart]]))</f>
        <v/>
      </c>
      <c r="FE19" s="89" t="str">
        <f aca="false">IF(Tasks[[#This Row],[Task Name]]="","",IF(Tasks[[#This Row],[_IsSummary]],MAX(INDEX(Tasks[_ShownCalcFinish],Tasks[[#This Row],[_Row]]+1):INDEX(Tasks[_ShownCalcFinish],Tasks[[#This Row],[_Row]]+Tasks[[#This Row],[_Descendants]])),Tasks[[#This Row],[_ShownCalcFinish]]))</f>
        <v/>
      </c>
      <c r="FF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 s="42" t="n">
        <f aca="false">IF(AND(Tasks[[#This Row],[_IsLeaf]]=1,Tasks[[#This Row],[_LeafTotalWork]]&gt;0),NETWORKDAYS.INTL(ProjectStart,Tasks[[#This Row],[_ShownFcstStart]],WorkWeek,Holidays),0)</f>
        <v>0</v>
      </c>
      <c r="FS19" s="42" t="n">
        <f aca="false">IF(AND(Tasks[[#This Row],[_IsLeaf]]=1,Tasks[[#This Row],[_LeafTotalWork]]&gt;0),MAX(Tasks[[#This Row],[_StartWorkday]],NETWORKDAYS.INTL(ProjectStart,Tasks[[#This Row],[_ShownFcstFinish]],WorkWeek,Holidays)),0)</f>
        <v>0</v>
      </c>
      <c r="FT19" s="42" t="n">
        <f aca="false">IF(AND(Tasks[[#This Row],[_IsLeaf]]=1,Tasks[[#This Row],[_LeafTotalWork]]&gt;0),Tasks[[#This Row],[_LeafWork]]/(Tasks[[#This Row],[_FinishWorkday]]-Tasks[[#This Row],[_StartWorkday]]+1),0)</f>
        <v>0</v>
      </c>
      <c r="FU19" s="42" t="n">
        <f aca="false">Tasks[[#This Row],[_WorkPerWorkday]]*(Tasks[[#This Row],[_StartWorkday]]-1)</f>
        <v>-0</v>
      </c>
      <c r="FV19" s="42" t="n">
        <f aca="false">IF(Tasks[[#This Row],[_IsLeaf]]=1,MAX(N(Tasks[[#This Row],[_Days]]),0.1),0)</f>
        <v>0</v>
      </c>
      <c r="FW19" s="42" t="n">
        <f aca="false">Tasks[[#This Row],[_WeightDur]]*Tasks[[#This Row],[_LeafProgress]]</f>
        <v>0</v>
      </c>
      <c r="FX19" s="42" t="n">
        <f aca="false">Tasks[[#This Row],[_WeightDur]]*Tasks[[#This Row],[_PlannedPct]]</f>
        <v>0</v>
      </c>
      <c r="FY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 s="42" t="str">
        <f aca="false">IF(AND(Tasks[[#This Row],[_IsLeaf]]=1,N(Tasks[[#This Row],[_Days]])=0,Tasks[[#This Row],[_LeafProgress]]&lt;1),Tasks[[#This Row],[_ShownFcstFinish]]+Tasks[[#This Row],[_Row]]/100000,"")</f>
        <v/>
      </c>
      <c r="GA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 s="42" t="str">
        <f aca="false">IF(Tasks[[#This Row],[Task Name]]="","",LEFT(Tasks[[#This Row],[WBS]],FIND(".",Tasks[[#This Row],[WBS]]&amp;".")-1))</f>
        <v/>
      </c>
      <c r="GC19" s="42" t="str">
        <f aca="false">IF(AND(Tasks[[#This Row],[Task Name]]&lt;&gt;"",Tasks[[#This Row],[_Level]]=1),Tasks[[#This Row],[_Row]],"")</f>
        <v/>
      </c>
      <c r="GD19" s="42" t="str">
        <f aca="false">IF(AND(Tasks[[#This Row],[_IsLeaf]]=1,N(Tasks[[#This Row],[_Days]])=0),Tasks[[#This Row],[Planned Finish]]+Tasks[[#This Row],[_Row]]/100000,"")</f>
        <v/>
      </c>
      <c r="GE19" s="42" t="str">
        <f aca="false">IF(AND(Tasks[[#This Row],[_IsLeaf]]=1,Tasks[[#This Row],[_LeafProgress]]&lt;1,OR(N(Tasks[[#This Row],[Finish Var]])&gt;0,Tasks[[#This Row],[Status]]="Late Start")),MAX(0,Tasks[[#This Row],[Finish Var]])+1-Tasks[[#This Row],[_Row]]/1000000,"")</f>
        <v/>
      </c>
      <c r="GF19" s="42" t="str">
        <f aca="false">IF(AND(Tasks[[#This Row],[_IsLeaf]]=1,N(Tasks[[#This Row],[Actual Start]])=0,Tasks[[#This Row],[_ShownFcstStart]]&gt;=StatusDate,Tasks[[#This Row],[_ShownFcstStart]]&lt;=LookaheadEnd),Tasks[[#This Row],[_ShownFcstStart]]+Tasks[[#This Row],[_Row]]/100000,"")</f>
        <v/>
      </c>
      <c r="GG19" s="42" t="str">
        <f aca="false">IF(AND(Tasks[[#This Row],[_IsLeaf]]=1,Tasks[[#This Row],[_LeafProgress]]&lt;1,Tasks[[#This Row],[_ShownFcstFinish]]&gt;=StatusDate,Tasks[[#This Row],[_ShownFcstFinish]]&lt;=LookaheadEnd),Tasks[[#This Row],[_ShownFcstFinish]]+Tasks[[#This Row],[_Row]]/100000,"")</f>
        <v/>
      </c>
      <c r="GH19" s="42" t="str">
        <f aca="false">IF(Tasks[[#This Row],[_LeafCritical]],Tasks[[#This Row],[_ShownFcstStart]]+Tasks[[#This Row],[_Row]]/100000,"")</f>
        <v/>
      </c>
      <c r="GI19" s="42" t="n">
        <f aca="false">Tasks[[#This Row],[_LeafWork]]*Tasks[[#This Row],[_LeafProgress]]</f>
        <v>0</v>
      </c>
      <c r="GJ19" s="89" t="str">
        <f aca="false">IF(AND(Tasks[[#This Row],[_IsLeaf]]=1,Tasks[[#This Row],[_LeafProgress]]&gt;=1),IF(N(Tasks[[#This Row],[Actual Finish]])&gt;0,Tasks[[#This Row],[Actual Finish]],Tasks[[#This Row],[_ShownFcstFinish]]),"")</f>
        <v/>
      </c>
      <c r="GK19" s="42" t="n">
        <f aca="false">IF(Tasks[[#This Row],[_IsLeaf]]=1,N(Tasks[[#This Row],[Story Points]]),0)</f>
        <v>0</v>
      </c>
      <c r="GL19" s="42" t="str">
        <f aca="false">""</f>
        <v/>
      </c>
      <c r="GM19" s="88" t="b">
        <f aca="false">IF(Tasks[[#This Row],[Task Name]]="",FALSE(),AND(Tasks[[#This Row],[_IsLeaf]]=1,N(Tasks[[#This Row],[_Days]])=0))</f>
        <v>0</v>
      </c>
      <c r="GN19" s="89" t="n">
        <f aca="false">IF(Tasks[[#This Row],[Task Name]]="",0,IF(AND(Tasks[[#This Row],[_IsLeaf]]=1,NOT(Tasks[[#This Row],[_IsMilestone]]),N(Tasks[[#This Row],[Progress]])&gt;0),Tasks[[#This Row],[Start]],0))</f>
        <v>0</v>
      </c>
      <c r="GO19" s="89" t="n">
        <f aca="false">IF(Tasks[[#This Row],[_DoneFrom]]=0,0,IF(Tasks[[#This Row],[Progress]]&gt;=1,Tasks[[#This Row],[Finish]],MAX(Tasks[[#This Row],[_DoneFrom]],Tasks[[#This Row],[Start]]+ROUND((Tasks[[#This Row],[Finish]]-Tasks[[#This Row],[Start]]+1)*Tasks[[#This Row],[Progress]],0)-1)))</f>
        <v>0</v>
      </c>
      <c r="GP19" s="89" t="n">
        <f aca="false">IF(Tasks[[#This Row],[Task Name]]="",0,IF(OR(NOT(Tasks[[#This Row],[_IsLeaf]]=1),Tasks[[#This Row],[_IsMilestone]],N(Tasks[[#This Row],[Progress]])&gt;=1),0,IF(Tasks[[#This Row],[_DoneTo]]&gt;0,Tasks[[#This Row],[_DoneTo]]+1,Tasks[[#This Row],[Start]])))</f>
        <v>0</v>
      </c>
      <c r="GQ19" s="89" t="n">
        <f aca="false">IF(Tasks[[#This Row],[_RemFrom]]=0,0,Tasks[[#This Row],[Finish]])</f>
        <v>0</v>
      </c>
      <c r="GR19" s="88" t="b">
        <f aca="false">IF(Tasks[[#This Row],[Task Name]]="",FALSE(),OR(NOT(BaselineSet),N(Tasks[[#This Row],[Baseline Start]])&gt;0))</f>
        <v>0</v>
      </c>
      <c r="GS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 s="90" t="str">
        <f aca="false">IF(Tasks[[#This Row],[_IsLeaf]]=1,Tasks[[#This Row],[_Row]],"")</f>
        <v/>
      </c>
      <c r="GW19" s="90" t="str">
        <f aca="false">IFERROR(INDEX(Tasks[UID],SMALL(Tasks[_PickKey],Tasks[[#This Row],[_Row]]))&amp;" "&amp;INDEX(Tasks[Task Name],SMALL(Tasks[_PickKey],Tasks[[#This Row],[_Row]])),"")</f>
        <v/>
      </c>
      <c r="GX19" s="42" t="str">
        <f aca="false">IF(Tasks[[#This Row],[Task Name]]="","",IF(Tasks[[#This Row],[_IsSummary]],NETWORKDAYS.INTL(Tasks[[#This Row],[Start]],Tasks[[#This Row],[Finish]],WorkWeek,Holidays),N(Tasks[[#This Row],[_Days]])))</f>
        <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3"/>
      <c r="U20" s="23"/>
      <c r="V20" s="83"/>
      <c r="W20" s="23"/>
      <c r="X20" s="83"/>
      <c r="Y20" s="23"/>
      <c r="Z20" s="83"/>
      <c r="AA20" s="23"/>
      <c r="AB20" s="23"/>
      <c r="AC20" s="7"/>
      <c r="AD20" s="7"/>
      <c r="AE20" s="62" t="str">
        <f aca="false">IF(Tasks[[#This Row],[Task Name]]="","",IF(Tasks[[#This Row],[_IsSummary]],MIN(INDEX(Tasks[_ShownFcstStart],Tasks[[#This Row],[_Row]]+1):INDEX(Tasks[_ShownFcstStart],Tasks[[#This Row],[_Row]]+Tasks[[#This Row],[_Descendants]])),Tasks[[#This Row],[_ShownFcstStart]]))</f>
        <v/>
      </c>
      <c r="AF20" s="62"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 s="7"/>
      <c r="AK20" s="22"/>
      <c r="AL20" s="23"/>
      <c r="AM20" s="7"/>
      <c r="AN20" s="46"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2" t="str">
        <f aca="false">IF(Tasks[[#This Row],[Task Name]]="","",IF(N(Tasks[[#This Row],[Baseline Start]])&gt;0,Tasks[[#This Row],[Baseline Start]],Tasks[[#This Row],[_CalcStart]]))</f>
        <v/>
      </c>
      <c r="AR20" s="62" t="str">
        <f aca="false">IF(Tasks[[#This Row],[Task Name]]="","",IF(N(Tasks[[#This Row],[Baseline Finish]])&gt;0,Tasks[[#This Row],[Baseline Finish]],Tasks[[#This Row],[_CalcFinish]]))</f>
        <v/>
      </c>
      <c r="AS20" s="46" t="str">
        <f aca="false">IF(Tasks[[#This Row],[Task Name]]="","",IF(Tasks[[#This Row],[Start]]&gt;=Tasks[[#This Row],[Planned Start]],NETWORKDAYS.INTL(Tasks[[#This Row],[Planned Start]],Tasks[[#This Row],[Start]],WorkWeek,Holidays)-1,1-NETWORKDAYS.INTL(Tasks[[#This Row],[Start]],Tasks[[#This Row],[Planned Start]],WorkWeek,Holidays)))</f>
        <v/>
      </c>
      <c r="AT20" s="62" t="str">
        <f aca="false">IF(Tasks[[#This Row],[Task Name]]="","",IF(Tasks[[#This Row],[_IsSummary]],MIN(INDEX(Tasks[_LeafLateStart],Tasks[[#This Row],[_Row]]+1):INDEX(Tasks[_LeafLateStart],Tasks[[#This Row],[_Row]]+Tasks[[#This Row],[_Descendants]])),Tasks[[#This Row],[_LeafLateStart]]))</f>
        <v/>
      </c>
      <c r="AU20" s="62" t="str">
        <f aca="false">IF(Tasks[[#This Row],[Task Name]]="","",IF(Tasks[[#This Row],[_IsSummary]],MAX(INDEX(Tasks[_LeafLateFinish],Tasks[[#This Row],[_Row]]+1):INDEX(Tasks[_LeafLateFinish],Tasks[[#This Row],[_Row]]+Tasks[[#This Row],[_Descendants]])),Tasks[[#This Row],[_LeafLateFinish]]))</f>
        <v/>
      </c>
      <c r="AV20" s="46"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4"/>
      <c r="BA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5"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6"/>
      <c r="BJ20" s="22"/>
      <c r="BK20" s="46" t="str">
        <f aca="false">IF(OR(Tasks[[#This Row],[Task Name]]="",Tasks[[#This Row],[Baseline Duration]]=""),"",Tasks[[#This Row],[_SpanDays]]-N(Tasks[[#This Row],[Baseline Duration]]))</f>
        <v/>
      </c>
      <c r="BL20" s="85" t="str">
        <f aca="false">IF(OR(Tasks[[#This Row],[Task Name]]="",Tasks[[#This Row],[Baseline Work]]=""),"",Tasks[[#This Row],[Work]]-N(Tasks[[#This Row],[Baseline Work]]))</f>
        <v/>
      </c>
      <c r="BM20" s="62" t="str">
        <f aca="false">IF(Tasks[[#This Row],[Task Name]]="","",IF(OR(TakeBaseline="Yes",N(Tasks[[#This Row],[Baseline Start]])=0),Tasks[[#This Row],[Start]],Tasks[[#This Row],[Baseline Start]]))</f>
        <v/>
      </c>
      <c r="BN20" s="62"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5" t="str">
        <f aca="false">IF(Tasks[[#This Row],[Task Name]]="","",IF(OR(TakeBaseline="Yes",N(Tasks[[#This Row],[Baseline Work]])=0),Tasks[[#This Row],[Work]],Tasks[[#This Row],[Baseline Work]]))</f>
        <v/>
      </c>
      <c r="BQ20" s="7"/>
      <c r="BR20" s="7"/>
      <c r="BS20" s="22"/>
      <c r="BT20" s="87"/>
      <c r="BU20" s="42" t="str">
        <f aca="false">IF(Tasks[[#This Row],[Task Name]]="","",MAX(1,N(Tasks[[#This Row],[Level]])))</f>
        <v/>
      </c>
      <c r="BV20" s="42" t="n">
        <f aca="false">ROW()-ROW(Tasks[[#Headers],[ID]])</f>
        <v>15</v>
      </c>
      <c r="BW20" s="42" t="n">
        <f aca="false">IF(OR(Tasks[[#This Row],[Task Name]]="",Tasks[[#This Row],[_Level]]&lt;=1),0,IFERROR(LOOKUP(2,1/(Tasks[[#Headers],[_Level]]:Tasks[[#This Row],[_Level]]=Tasks[[#This Row],[_Level]]-1),ROW(Tasks[[#Headers],[_Level]]:Tasks[[#This Row],[_Level]])),0))</f>
        <v>0</v>
      </c>
      <c r="BX20" s="42" t="n">
        <f aca="false">IFERROR(N(INDEX(Tasks[_Level],Tasks[[#This Row],[_Row]]+1)),0)</f>
        <v>0</v>
      </c>
      <c r="BY20" s="88" t="b">
        <f aca="false">AND(Tasks[[#This Row],[Task Name]]&lt;&gt;"",Tasks[[#This Row],[_NextLevel]]&gt;Tasks[[#This Row],[_Level]])</f>
        <v>0</v>
      </c>
      <c r="BZ20" s="42" t="n">
        <f aca="false">IF(Tasks[[#This Row],[_IsSummary]],COUNTIF(Tasks[WBS],Tasks[[#This Row],[WBS]]&amp;".*"),0)</f>
        <v>0</v>
      </c>
      <c r="CA20" s="42" t="n">
        <f aca="false">IF(AND(Tasks[[#This Row],[Task Name]]&lt;&gt;"",NOT(Tasks[[#This Row],[_IsSummary]])),1,0)</f>
        <v>0</v>
      </c>
      <c r="CB20" s="42" t="n">
        <f aca="false">IF(N(Tasks[[#This Row],[_Pred1UID]])=0,0,IFERROR(MATCH(Tasks[[#This Row],[_Pred1UID]],Tasks[UID],0),-1))</f>
        <v>0</v>
      </c>
      <c r="CC20" s="42" t="n">
        <f aca="false">IF(N(Tasks[[#This Row],[_Pred2UID]])=0,0,IFERROR(MATCH(Tasks[[#This Row],[_Pred2UID]],Tasks[UID],0),-1))</f>
        <v>0</v>
      </c>
      <c r="CD20" s="42" t="n">
        <f aca="false">IF(N(Tasks[[#This Row],[_Pred3UID]])=0,0,IFERROR(MATCH(Tasks[[#This Row],[_Pred3UID]],Tasks[UID],0),-1))</f>
        <v>0</v>
      </c>
      <c r="CE20" s="42" t="n">
        <f aca="false">IF(N(Tasks[[#This Row],[_Pred4UID]])=0,0,IFERROR(MATCH(Tasks[[#This Row],[_Pred4UID]],Tasks[UID],0),-1))</f>
        <v>0</v>
      </c>
      <c r="CF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 s="89" t="n">
        <f aca="false">IF(OR(Tasks[[#This Row],[_ConstraintCode]]=2,Tasks[[#This Row],[_ConstraintCode]]=3,Tasks[[#This Row],[_ConstraintCode]]=4,Tasks[[#This Row],[_ConstraintCode]]=6),Tasks[[#This Row],[_ConstraintStart]],0)</f>
        <v>0</v>
      </c>
      <c r="CI20" s="89" t="n">
        <f aca="false">IF(OR(Tasks[[#This Row],[_ConstraintCode]]=2,Tasks[[#This Row],[_ConstraintCode]]=3,Tasks[[#This Row],[_ConstraintCode]]=5,Tasks[[#This Row],[_ConstraintCode]]=7),Tasks[[#This Row],[_ConstraintStart]],2958465)</f>
        <v>2958465</v>
      </c>
      <c r="CJ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 s="89" t="str">
        <f aca="false">IF(NOT(Tasks[[#This Row],[_IsLeaf]]=1),"",IF(N(Tasks[[#This Row],[_Days]])&lt;=0,Tasks[[#This Row],[_LeafCalcStart]],WORKDAY.INTL(Tasks[[#This Row],[_LeafCalcStart]],Tasks[[#This Row],[_Days]]-1,WorkWeek,Holidays)))</f>
        <v/>
      </c>
      <c r="CL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 s="42" t="str">
        <f aca="false">IF(Tasks[[#This Row],[_Predecessors]]="","",TRIM(MID(SUBSTITUTE(SUBSTITUTE(SUBSTITUTE(UPPER(Tasks[[#This Row],[_Predecessors]]),";",",")," ",""),",",REPT(" ",99)),1,99)))</f>
        <v/>
      </c>
      <c r="CO20" s="42" t="str">
        <f aca="false">IF(Tasks[[#This Row],[_Pred1Text]]="","",IFERROR(VALUE(LEFT(Tasks[[#This Row],[_Pred1Text]],MIN(FIND("F",Tasks[[#This Row],[_Pred1Text]]&amp;"F"),FIND("S",Tasks[[#This Row],[_Pred1Text]]&amp;"S"),FIND("+",Tasks[[#This Row],[_Pred1Text]]&amp;"+"),FIND("-",Tasks[[#This Row],[_Pred1Text]]&amp;"-"))-1)),""))</f>
        <v/>
      </c>
      <c r="CP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 s="42" t="str">
        <f aca="false">IF(Tasks[[#This Row],[_Pred1Text]]="","",TRIM(MID(SUBSTITUTE(SUBSTITUTE(SUBSTITUTE(UPPER(Tasks[[#This Row],[_Predecessors]]),";",",")," ",""),",",REPT(" ",99)),100,99)))</f>
        <v/>
      </c>
      <c r="CS20" s="42" t="str">
        <f aca="false">IF(Tasks[[#This Row],[_Pred2Text]]="","",IFERROR(VALUE(LEFT(Tasks[[#This Row],[_Pred2Text]],MIN(FIND("F",Tasks[[#This Row],[_Pred2Text]]&amp;"F"),FIND("S",Tasks[[#This Row],[_Pred2Text]]&amp;"S"),FIND("+",Tasks[[#This Row],[_Pred2Text]]&amp;"+"),FIND("-",Tasks[[#This Row],[_Pred2Text]]&amp;"-"))-1)),""))</f>
        <v/>
      </c>
      <c r="CT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 s="42" t="str">
        <f aca="false">IF(Tasks[[#This Row],[_Pred2Text]]="","",TRIM(MID(SUBSTITUTE(SUBSTITUTE(SUBSTITUTE(UPPER(Tasks[[#This Row],[_Predecessors]]),";",",")," ",""),",",REPT(" ",99)),199,99)))</f>
        <v/>
      </c>
      <c r="CW20" s="42" t="str">
        <f aca="false">IF(Tasks[[#This Row],[_Pred3Text]]="","",IFERROR(VALUE(LEFT(Tasks[[#This Row],[_Pred3Text]],MIN(FIND("F",Tasks[[#This Row],[_Pred3Text]]&amp;"F"),FIND("S",Tasks[[#This Row],[_Pred3Text]]&amp;"S"),FIND("+",Tasks[[#This Row],[_Pred3Text]]&amp;"+"),FIND("-",Tasks[[#This Row],[_Pred3Text]]&amp;"-"))-1)),""))</f>
        <v/>
      </c>
      <c r="CX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 s="42" t="str">
        <f aca="false">IF(Tasks[[#This Row],[_Pred3Text]]="","",TRIM(MID(SUBSTITUTE(SUBSTITUTE(SUBSTITUTE(UPPER(Tasks[[#This Row],[_Predecessors]]),";",",")," ",""),",",REPT(" ",99)),298,99)))</f>
        <v/>
      </c>
      <c r="DA20" s="42" t="str">
        <f aca="false">IF(Tasks[[#This Row],[_Pred4Text]]="","",IFERROR(VALUE(LEFT(Tasks[[#This Row],[_Pred4Text]],MIN(FIND("F",Tasks[[#This Row],[_Pred4Text]]&amp;"F"),FIND("S",Tasks[[#This Row],[_Pred4Text]]&amp;"S"),FIND("+",Tasks[[#This Row],[_Pred4Text]]&amp;"+"),FIND("-",Tasks[[#This Row],[_Pred4Text]]&amp;"-"))-1)),""))</f>
        <v/>
      </c>
      <c r="DB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 s="42" t="str">
        <f aca="false">IF(OR(Tasks[[#This Row],[Task Name]]="",Tasks[[#This Row],[_Resources]]=""),"",TRIM(MID(SUBSTITUTE(Tasks[[#This Row],[_Resources]],",",REPT(" ",99)),1,99)))</f>
        <v/>
      </c>
      <c r="DE20" s="42" t="str">
        <f aca="false">IF(Tasks[[#This Row],[_Res1Text]]="","",TRIM(MID(SUBSTITUTE(Tasks[[#This Row],[_Resources]],",",REPT(" ",99)),100,99)))</f>
        <v/>
      </c>
      <c r="DF20" s="42" t="str">
        <f aca="false">IF(Tasks[[#This Row],[_Res2Text]]="","",TRIM(MID(SUBSTITUTE(Tasks[[#This Row],[_Resources]],",",REPT(" ",99)),199,99)))</f>
        <v/>
      </c>
      <c r="DG20" s="42" t="str">
        <f aca="false">IF(Tasks[[#This Row],[_Res3Text]]="","",TRIM(MID(SUBSTITUTE(Tasks[[#This Row],[_Resources]],",",REPT(" ",99)),298,99)))</f>
        <v/>
      </c>
      <c r="DH20" s="42" t="n">
        <f aca="false">IF(Tasks[[#This Row],[_Res1Text]]="",0,IFERROR(MATCH(TRIM(LEFT(Tasks[[#This Row],[_Res1Text]],FIND("[",Tasks[[#This Row],[_Res1Text]]&amp;"[")-1)),res_Name,0),IFERROR(MATCH(TRIM(LEFT(Tasks[[#This Row],[_Res1Text]],FIND("[",Tasks[[#This Row],[_Res1Text]]&amp;"[")-1)),res_Initials,0),0)))</f>
        <v>0</v>
      </c>
      <c r="DI20" s="42" t="n">
        <f aca="false">IF(Tasks[[#This Row],[_Res2Text]]="",0,IFERROR(MATCH(TRIM(LEFT(Tasks[[#This Row],[_Res2Text]],FIND("[",Tasks[[#This Row],[_Res2Text]]&amp;"[")-1)),res_Name,0),IFERROR(MATCH(TRIM(LEFT(Tasks[[#This Row],[_Res2Text]],FIND("[",Tasks[[#This Row],[_Res2Text]]&amp;"[")-1)),res_Initials,0),0)))</f>
        <v>0</v>
      </c>
      <c r="DJ20" s="42" t="n">
        <f aca="false">IF(Tasks[[#This Row],[_Res3Text]]="",0,IFERROR(MATCH(TRIM(LEFT(Tasks[[#This Row],[_Res3Text]],FIND("[",Tasks[[#This Row],[_Res3Text]]&amp;"[")-1)),res_Name,0),IFERROR(MATCH(TRIM(LEFT(Tasks[[#This Row],[_Res3Text]],FIND("[",Tasks[[#This Row],[_Res3Text]]&amp;"[")-1)),res_Initials,0),0)))</f>
        <v>0</v>
      </c>
      <c r="DK20" s="42" t="n">
        <f aca="false">IF(Tasks[[#This Row],[_Res4Text]]="",0,IFERROR(MATCH(TRIM(LEFT(Tasks[[#This Row],[_Res4Text]],FIND("[",Tasks[[#This Row],[_Res4Text]]&amp;"[")-1)),res_Name,0),IFERROR(MATCH(TRIM(LEFT(Tasks[[#This Row],[_Res4Text]],FIND("[",Tasks[[#This Row],[_Res4Text]]&amp;"[")-1)),res_Initials,0),0)))</f>
        <v>0</v>
      </c>
      <c r="DL20" s="42" t="str">
        <f aca="false">IF(Tasks[[#This Row],[_Res1Text]]="","",IF(Tasks[[#This Row],[_Res1Row]]&gt;0,INDEX(res_Name,Tasks[[#This Row],[_Res1Row]]),TRIM(LEFT(Tasks[[#This Row],[_Res1Text]],FIND("[",Tasks[[#This Row],[_Res1Text]]&amp;"[")-1))))</f>
        <v/>
      </c>
      <c r="DM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 s="42" t="n">
        <f aca="false">IF(NOT(Tasks[[#This Row],[_IsLeaf]]=1),0,(Tasks[[#This Row],[_Resource1]]&lt;&gt;"")+(Tasks[[#This Row],[_Res2]]&lt;&gt;"")+(Tasks[[#This Row],[_Res3]]&lt;&gt;"")+(Tasks[[#This Row],[_Res4]]&lt;&gt;""))</f>
        <v>0</v>
      </c>
      <c r="DO20" s="42" t="str">
        <f aca="false">IF(Tasks[[#This Row],[_Res2Text]]="","",IF(Tasks[[#This Row],[_Res2Row]]&gt;0,INDEX(res_Name,Tasks[[#This Row],[_Res2Row]]),TRIM(LEFT(Tasks[[#This Row],[_Res2Text]],FIND("[",Tasks[[#This Row],[_Res2Text]]&amp;"[")-1))))</f>
        <v/>
      </c>
      <c r="DP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 s="42" t="n">
        <f aca="false">IF(OR(NOT(Tasks[[#This Row],[_IsLeaf]]=1),Tasks[[#This Row],[_Res2Row]]=0),0,N(Tasks[[#This Row],[_Days]])*HoursPerDay*IF(Tasks[[#This Row],[_Res2Units]]="",DefaultUnits,Tasks[[#This Row],[_Res2Units]]))</f>
        <v>0</v>
      </c>
      <c r="DR20" s="42" t="n">
        <f aca="false">IF(AND(AND(Tasks[[#This Row],[_IsLeaf]]=1,Tasks[[#This Row],[_LeafTotalWork]]&gt;0),Tasks[[#This Row],[_Res2Work]]&gt;0),Tasks[[#This Row],[_Res2Work]]/(Tasks[[#This Row],[_FinishWorkday]]-Tasks[[#This Row],[_StartWorkday]]+1),0)</f>
        <v>0</v>
      </c>
      <c r="DS20" s="42" t="n">
        <f aca="false">Tasks[[#This Row],[_Res2WorkPerWD]]*MAX(0,Tasks[[#This Row],[_StartWorkday]]-1)</f>
        <v>0</v>
      </c>
      <c r="DT20" s="42" t="n">
        <f aca="false">Tasks[[#This Row],[_Res2Work]]*Tasks[[#This Row],[_LeafProgress]]</f>
        <v>0</v>
      </c>
      <c r="DU20" s="42" t="str">
        <f aca="false">IF(Tasks[[#This Row],[_Res3Text]]="","",IF(Tasks[[#This Row],[_Res3Row]]&gt;0,INDEX(res_Name,Tasks[[#This Row],[_Res3Row]]),TRIM(LEFT(Tasks[[#This Row],[_Res3Text]],FIND("[",Tasks[[#This Row],[_Res3Text]]&amp;"[")-1))))</f>
        <v/>
      </c>
      <c r="DV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 s="42" t="n">
        <f aca="false">IF(OR(NOT(Tasks[[#This Row],[_IsLeaf]]=1),Tasks[[#This Row],[_Res3Row]]=0),0,N(Tasks[[#This Row],[_Days]])*HoursPerDay*IF(Tasks[[#This Row],[_Res3Units]]="",DefaultUnits,Tasks[[#This Row],[_Res3Units]]))</f>
        <v>0</v>
      </c>
      <c r="DX20" s="42" t="n">
        <f aca="false">IF(AND(AND(Tasks[[#This Row],[_IsLeaf]]=1,Tasks[[#This Row],[_LeafTotalWork]]&gt;0),Tasks[[#This Row],[_Res3Work]]&gt;0),Tasks[[#This Row],[_Res3Work]]/(Tasks[[#This Row],[_FinishWorkday]]-Tasks[[#This Row],[_StartWorkday]]+1),0)</f>
        <v>0</v>
      </c>
      <c r="DY20" s="42" t="n">
        <f aca="false">Tasks[[#This Row],[_Res3WorkPerWD]]*MAX(0,Tasks[[#This Row],[_StartWorkday]]-1)</f>
        <v>0</v>
      </c>
      <c r="DZ20" s="42" t="n">
        <f aca="false">Tasks[[#This Row],[_Res3Work]]*Tasks[[#This Row],[_LeafProgress]]</f>
        <v>0</v>
      </c>
      <c r="EA20" s="42" t="str">
        <f aca="false">IF(Tasks[[#This Row],[_Res4Text]]="","",IF(Tasks[[#This Row],[_Res4Row]]&gt;0,INDEX(res_Name,Tasks[[#This Row],[_Res4Row]]),TRIM(LEFT(Tasks[[#This Row],[_Res4Text]],FIND("[",Tasks[[#This Row],[_Res4Text]]&amp;"[")-1))))</f>
        <v/>
      </c>
      <c r="EB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 s="42" t="n">
        <f aca="false">IF(OR(NOT(Tasks[[#This Row],[_IsLeaf]]=1),Tasks[[#This Row],[_Res4Row]]=0),0,N(Tasks[[#This Row],[_Days]])*HoursPerDay*IF(Tasks[[#This Row],[_Res4Units]]="",DefaultUnits,Tasks[[#This Row],[_Res4Units]]))</f>
        <v>0</v>
      </c>
      <c r="ED20" s="42" t="n">
        <f aca="false">IF(AND(AND(Tasks[[#This Row],[_IsLeaf]]=1,Tasks[[#This Row],[_LeafTotalWork]]&gt;0),Tasks[[#This Row],[_Res4Work]]&gt;0),Tasks[[#This Row],[_Res4Work]]/(Tasks[[#This Row],[_FinishWorkday]]-Tasks[[#This Row],[_StartWorkday]]+1),0)</f>
        <v>0</v>
      </c>
      <c r="EE20" s="42" t="n">
        <f aca="false">Tasks[[#This Row],[_Res4WorkPerWD]]*MAX(0,Tasks[[#This Row],[_StartWorkday]]-1)</f>
        <v>0</v>
      </c>
      <c r="EF20" s="42" t="n">
        <f aca="false">Tasks[[#This Row],[_Res4Work]]*Tasks[[#This Row],[_LeafProgress]]</f>
        <v>0</v>
      </c>
      <c r="EG20" s="42" t="n">
        <f aca="false">IF(ISNUMBER(Tasks[[#This Row],[% Complete]]),Tasks[[#This Row],[% Complete]],IF(Tasks[[#This Row],[Stage]]="",0,IFERROR(INDEX(stg_Pct,MATCH(Tasks[[#This Row],[Stage]],stg_Name,0)),0)))</f>
        <v>0</v>
      </c>
      <c r="EH20" s="42" t="n">
        <f aca="false">IF(NOT(Tasks[[#This Row],[_IsLeaf]]=1),0,IF(N(Tasks[[#This Row],[Actual Finish]])&gt;0,1,MIN(1,Tasks[[#This Row],[_Pct]])))</f>
        <v>0</v>
      </c>
      <c r="EI20" s="42" t="n">
        <f aca="false">IF(OR(NOT(Tasks[[#This Row],[_IsLeaf]]=1),Tasks[[#This Row],[_Res1Row]]=0),0,N(Tasks[[#This Row],[_Days]])*HoursPerDay*IF(Tasks[[#This Row],[_Units1]]="",DefaultUnits,Tasks[[#This Row],[_Units1]]))</f>
        <v>0</v>
      </c>
      <c r="EJ20" s="42" t="n">
        <f aca="false">Tasks[[#This Row],[_LeafWork]]+Tasks[[#This Row],[_Res2Work]]+Tasks[[#This Row],[_Res3Work]]+Tasks[[#This Row],[_Res4Work]]</f>
        <v>0</v>
      </c>
      <c r="EK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 s="42" t="n">
        <f aca="false">IF(NOT(Tasks[[#This Row],[_IsLeaf]]=1),0,MAX(_xlfn.MAXIFS(Tasks[_Row],Tasks[_Pred1UID],Tasks[[#This Row],[UID]]),_xlfn.MAXIFS(Tasks[_Row],Tasks[_Pred2UID],Tasks[[#This Row],[UID]]),_xlfn.MAXIFS(Tasks[_Row],Tasks[_Pred3UID],Tasks[[#This Row],[UID]]),_xlfn.MAXIFS(Tasks[_Row],Tasks[_Pred4UID],Tasks[[#This Row],[UID]])))</f>
        <v>0</v>
      </c>
      <c r="ET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 s="89" t="str">
        <f aca="false">IF(NOT(Tasks[[#This Row],[_IsLeaf]]=1),"",IF(N(Tasks[[#This Row],[_Days]])&lt;=0,Tasks[[#This Row],[_LeafLateFinish]],WORKDAY.INTL(Tasks[[#This Row],[_LeafLateFinish]],-(Tasks[[#This Row],[_Days]]-1),WorkWeek,Holidays)))</f>
        <v/>
      </c>
      <c r="EW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 s="88" t="b">
        <f aca="false">AND(Tasks[[#This Row],[_IsLeaf]]=1,Tasks[[#This Row],[_LeafProgress]]&lt;1,N(Tasks[[#This Row],[_LeafTotalSlack]])&lt;=CriticalSlackDays)</f>
        <v>0</v>
      </c>
      <c r="EY20" s="42" t="n">
        <f aca="false">IF(AND(Tasks[[#This Row],[_IsLeaf]]=1,Tasks[[#This Row],[_ConstraintCode]]=1,Tasks[[#This Row],[Mode]]&lt;&gt;"Manual",N(Tasks[[#This Row],[Actual Start]])=0),MAX(0,N(Tasks[[#This Row],[Free Slack]])),0)</f>
        <v>0</v>
      </c>
      <c r="EZ20" s="89" t="str">
        <f aca="false">IF(NOT(Tasks[[#This Row],[_IsLeaf]]=1),"",IF(Tasks[[#This Row],[_AlapShift]]=0,Tasks[[#This Row],[_LeafCalcStart]],WORKDAY.INTL(Tasks[[#This Row],[_LeafCalcStart]],Tasks[[#This Row],[_AlapShift]],WorkWeek,Holidays)))</f>
        <v/>
      </c>
      <c r="FA20" s="89" t="str">
        <f aca="false">IF(NOT(Tasks[[#This Row],[_IsLeaf]]=1),"",IF(Tasks[[#This Row],[_AlapShift]]=0,Tasks[[#This Row],[_LeafCalcFinish]],WORKDAY.INTL(Tasks[[#This Row],[_LeafCalcFinish]],Tasks[[#This Row],[_AlapShift]],WorkWeek,Holidays)))</f>
        <v/>
      </c>
      <c r="FB20" s="89" t="str">
        <f aca="false">IF(NOT(Tasks[[#This Row],[_IsLeaf]]=1),"",IF(Tasks[[#This Row],[_AlapShift]]=0,Tasks[[#This Row],[_LeafFcstStart]],WORKDAY.INTL(Tasks[[#This Row],[_LeafFcstStart]],Tasks[[#This Row],[_AlapShift]],WorkWeek,Holidays)))</f>
        <v/>
      </c>
      <c r="FC20" s="89" t="str">
        <f aca="false">IF(NOT(Tasks[[#This Row],[_IsLeaf]]=1),"",IF(Tasks[[#This Row],[_AlapShift]]=0,Tasks[[#This Row],[_LeafFcstFinish]],WORKDAY.INTL(Tasks[[#This Row],[_LeafFcstFinish]],Tasks[[#This Row],[_AlapShift]],WorkWeek,Holidays)))</f>
        <v/>
      </c>
      <c r="FD20" s="89" t="str">
        <f aca="false">IF(Tasks[[#This Row],[Task Name]]="","",IF(Tasks[[#This Row],[_IsSummary]],MIN(INDEX(Tasks[_ShownCalcStart],Tasks[[#This Row],[_Row]]+1):INDEX(Tasks[_ShownCalcStart],Tasks[[#This Row],[_Row]]+Tasks[[#This Row],[_Descendants]])),Tasks[[#This Row],[_ShownCalcStart]]))</f>
        <v/>
      </c>
      <c r="FE20" s="89" t="str">
        <f aca="false">IF(Tasks[[#This Row],[Task Name]]="","",IF(Tasks[[#This Row],[_IsSummary]],MAX(INDEX(Tasks[_ShownCalcFinish],Tasks[[#This Row],[_Row]]+1):INDEX(Tasks[_ShownCalcFinish],Tasks[[#This Row],[_Row]]+Tasks[[#This Row],[_Descendants]])),Tasks[[#This Row],[_ShownCalcFinish]]))</f>
        <v/>
      </c>
      <c r="FF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 s="42" t="n">
        <f aca="false">IF(AND(Tasks[[#This Row],[_IsLeaf]]=1,Tasks[[#This Row],[_LeafTotalWork]]&gt;0),NETWORKDAYS.INTL(ProjectStart,Tasks[[#This Row],[_ShownFcstStart]],WorkWeek,Holidays),0)</f>
        <v>0</v>
      </c>
      <c r="FS20" s="42" t="n">
        <f aca="false">IF(AND(Tasks[[#This Row],[_IsLeaf]]=1,Tasks[[#This Row],[_LeafTotalWork]]&gt;0),MAX(Tasks[[#This Row],[_StartWorkday]],NETWORKDAYS.INTL(ProjectStart,Tasks[[#This Row],[_ShownFcstFinish]],WorkWeek,Holidays)),0)</f>
        <v>0</v>
      </c>
      <c r="FT20" s="42" t="n">
        <f aca="false">IF(AND(Tasks[[#This Row],[_IsLeaf]]=1,Tasks[[#This Row],[_LeafTotalWork]]&gt;0),Tasks[[#This Row],[_LeafWork]]/(Tasks[[#This Row],[_FinishWorkday]]-Tasks[[#This Row],[_StartWorkday]]+1),0)</f>
        <v>0</v>
      </c>
      <c r="FU20" s="42" t="n">
        <f aca="false">Tasks[[#This Row],[_WorkPerWorkday]]*(Tasks[[#This Row],[_StartWorkday]]-1)</f>
        <v>-0</v>
      </c>
      <c r="FV20" s="42" t="n">
        <f aca="false">IF(Tasks[[#This Row],[_IsLeaf]]=1,MAX(N(Tasks[[#This Row],[_Days]]),0.1),0)</f>
        <v>0</v>
      </c>
      <c r="FW20" s="42" t="n">
        <f aca="false">Tasks[[#This Row],[_WeightDur]]*Tasks[[#This Row],[_LeafProgress]]</f>
        <v>0</v>
      </c>
      <c r="FX20" s="42" t="n">
        <f aca="false">Tasks[[#This Row],[_WeightDur]]*Tasks[[#This Row],[_PlannedPct]]</f>
        <v>0</v>
      </c>
      <c r="FY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 s="42" t="str">
        <f aca="false">IF(AND(Tasks[[#This Row],[_IsLeaf]]=1,N(Tasks[[#This Row],[_Days]])=0,Tasks[[#This Row],[_LeafProgress]]&lt;1),Tasks[[#This Row],[_ShownFcstFinish]]+Tasks[[#This Row],[_Row]]/100000,"")</f>
        <v/>
      </c>
      <c r="GA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 s="42" t="str">
        <f aca="false">IF(Tasks[[#This Row],[Task Name]]="","",LEFT(Tasks[[#This Row],[WBS]],FIND(".",Tasks[[#This Row],[WBS]]&amp;".")-1))</f>
        <v/>
      </c>
      <c r="GC20" s="42" t="str">
        <f aca="false">IF(AND(Tasks[[#This Row],[Task Name]]&lt;&gt;"",Tasks[[#This Row],[_Level]]=1),Tasks[[#This Row],[_Row]],"")</f>
        <v/>
      </c>
      <c r="GD20" s="42" t="str">
        <f aca="false">IF(AND(Tasks[[#This Row],[_IsLeaf]]=1,N(Tasks[[#This Row],[_Days]])=0),Tasks[[#This Row],[Planned Finish]]+Tasks[[#This Row],[_Row]]/100000,"")</f>
        <v/>
      </c>
      <c r="GE20" s="42" t="str">
        <f aca="false">IF(AND(Tasks[[#This Row],[_IsLeaf]]=1,Tasks[[#This Row],[_LeafProgress]]&lt;1,OR(N(Tasks[[#This Row],[Finish Var]])&gt;0,Tasks[[#This Row],[Status]]="Late Start")),MAX(0,Tasks[[#This Row],[Finish Var]])+1-Tasks[[#This Row],[_Row]]/1000000,"")</f>
        <v/>
      </c>
      <c r="GF20" s="42" t="str">
        <f aca="false">IF(AND(Tasks[[#This Row],[_IsLeaf]]=1,N(Tasks[[#This Row],[Actual Start]])=0,Tasks[[#This Row],[_ShownFcstStart]]&gt;=StatusDate,Tasks[[#This Row],[_ShownFcstStart]]&lt;=LookaheadEnd),Tasks[[#This Row],[_ShownFcstStart]]+Tasks[[#This Row],[_Row]]/100000,"")</f>
        <v/>
      </c>
      <c r="GG20" s="42" t="str">
        <f aca="false">IF(AND(Tasks[[#This Row],[_IsLeaf]]=1,Tasks[[#This Row],[_LeafProgress]]&lt;1,Tasks[[#This Row],[_ShownFcstFinish]]&gt;=StatusDate,Tasks[[#This Row],[_ShownFcstFinish]]&lt;=LookaheadEnd),Tasks[[#This Row],[_ShownFcstFinish]]+Tasks[[#This Row],[_Row]]/100000,"")</f>
        <v/>
      </c>
      <c r="GH20" s="42" t="str">
        <f aca="false">IF(Tasks[[#This Row],[_LeafCritical]],Tasks[[#This Row],[_ShownFcstStart]]+Tasks[[#This Row],[_Row]]/100000,"")</f>
        <v/>
      </c>
      <c r="GI20" s="42" t="n">
        <f aca="false">Tasks[[#This Row],[_LeafWork]]*Tasks[[#This Row],[_LeafProgress]]</f>
        <v>0</v>
      </c>
      <c r="GJ20" s="89" t="str">
        <f aca="false">IF(AND(Tasks[[#This Row],[_IsLeaf]]=1,Tasks[[#This Row],[_LeafProgress]]&gt;=1),IF(N(Tasks[[#This Row],[Actual Finish]])&gt;0,Tasks[[#This Row],[Actual Finish]],Tasks[[#This Row],[_ShownFcstFinish]]),"")</f>
        <v/>
      </c>
      <c r="GK20" s="42" t="n">
        <f aca="false">IF(Tasks[[#This Row],[_IsLeaf]]=1,N(Tasks[[#This Row],[Story Points]]),0)</f>
        <v>0</v>
      </c>
      <c r="GL20" s="42" t="str">
        <f aca="false">""</f>
        <v/>
      </c>
      <c r="GM20" s="88" t="b">
        <f aca="false">IF(Tasks[[#This Row],[Task Name]]="",FALSE(),AND(Tasks[[#This Row],[_IsLeaf]]=1,N(Tasks[[#This Row],[_Days]])=0))</f>
        <v>0</v>
      </c>
      <c r="GN20" s="89" t="n">
        <f aca="false">IF(Tasks[[#This Row],[Task Name]]="",0,IF(AND(Tasks[[#This Row],[_IsLeaf]]=1,NOT(Tasks[[#This Row],[_IsMilestone]]),N(Tasks[[#This Row],[Progress]])&gt;0),Tasks[[#This Row],[Start]],0))</f>
        <v>0</v>
      </c>
      <c r="GO20" s="89" t="n">
        <f aca="false">IF(Tasks[[#This Row],[_DoneFrom]]=0,0,IF(Tasks[[#This Row],[Progress]]&gt;=1,Tasks[[#This Row],[Finish]],MAX(Tasks[[#This Row],[_DoneFrom]],Tasks[[#This Row],[Start]]+ROUND((Tasks[[#This Row],[Finish]]-Tasks[[#This Row],[Start]]+1)*Tasks[[#This Row],[Progress]],0)-1)))</f>
        <v>0</v>
      </c>
      <c r="GP20" s="89" t="n">
        <f aca="false">IF(Tasks[[#This Row],[Task Name]]="",0,IF(OR(NOT(Tasks[[#This Row],[_IsLeaf]]=1),Tasks[[#This Row],[_IsMilestone]],N(Tasks[[#This Row],[Progress]])&gt;=1),0,IF(Tasks[[#This Row],[_DoneTo]]&gt;0,Tasks[[#This Row],[_DoneTo]]+1,Tasks[[#This Row],[Start]])))</f>
        <v>0</v>
      </c>
      <c r="GQ20" s="89" t="n">
        <f aca="false">IF(Tasks[[#This Row],[_RemFrom]]=0,0,Tasks[[#This Row],[Finish]])</f>
        <v>0</v>
      </c>
      <c r="GR20" s="88" t="b">
        <f aca="false">IF(Tasks[[#This Row],[Task Name]]="",FALSE(),OR(NOT(BaselineSet),N(Tasks[[#This Row],[Baseline Start]])&gt;0))</f>
        <v>0</v>
      </c>
      <c r="GS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 s="90" t="str">
        <f aca="false">IF(Tasks[[#This Row],[_IsLeaf]]=1,Tasks[[#This Row],[_Row]],"")</f>
        <v/>
      </c>
      <c r="GW20" s="90" t="str">
        <f aca="false">IFERROR(INDEX(Tasks[UID],SMALL(Tasks[_PickKey],Tasks[[#This Row],[_Row]]))&amp;" "&amp;INDEX(Tasks[Task Name],SMALL(Tasks[_PickKey],Tasks[[#This Row],[_Row]])),"")</f>
        <v/>
      </c>
      <c r="GX20" s="42" t="str">
        <f aca="false">IF(Tasks[[#This Row],[Task Name]]="","",IF(Tasks[[#This Row],[_IsSummary]],NETWORKDAYS.INTL(Tasks[[#This Row],[Start]],Tasks[[#This Row],[Finish]],WorkWeek,Holidays),N(Tasks[[#This Row],[_Days]])))</f>
        <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3"/>
      <c r="U21" s="23"/>
      <c r="V21" s="83"/>
      <c r="W21" s="23"/>
      <c r="X21" s="83"/>
      <c r="Y21" s="23"/>
      <c r="Z21" s="83"/>
      <c r="AA21" s="23"/>
      <c r="AB21" s="23"/>
      <c r="AC21" s="7"/>
      <c r="AD21" s="7"/>
      <c r="AE21" s="62" t="str">
        <f aca="false">IF(Tasks[[#This Row],[Task Name]]="","",IF(Tasks[[#This Row],[_IsSummary]],MIN(INDEX(Tasks[_ShownFcstStart],Tasks[[#This Row],[_Row]]+1):INDEX(Tasks[_ShownFcstStart],Tasks[[#This Row],[_Row]]+Tasks[[#This Row],[_Descendants]])),Tasks[[#This Row],[_ShownFcstStart]]))</f>
        <v/>
      </c>
      <c r="AF21" s="62"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1" s="7"/>
      <c r="AK21" s="22"/>
      <c r="AL21" s="23"/>
      <c r="AM21" s="7"/>
      <c r="AN21" s="46"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2" t="str">
        <f aca="false">IF(Tasks[[#This Row],[Task Name]]="","",IF(N(Tasks[[#This Row],[Baseline Start]])&gt;0,Tasks[[#This Row],[Baseline Start]],Tasks[[#This Row],[_CalcStart]]))</f>
        <v/>
      </c>
      <c r="AR21" s="62" t="str">
        <f aca="false">IF(Tasks[[#This Row],[Task Name]]="","",IF(N(Tasks[[#This Row],[Baseline Finish]])&gt;0,Tasks[[#This Row],[Baseline Finish]],Tasks[[#This Row],[_CalcFinish]]))</f>
        <v/>
      </c>
      <c r="AS21" s="46" t="str">
        <f aca="false">IF(Tasks[[#This Row],[Task Name]]="","",IF(Tasks[[#This Row],[Start]]&gt;=Tasks[[#This Row],[Planned Start]],NETWORKDAYS.INTL(Tasks[[#This Row],[Planned Start]],Tasks[[#This Row],[Start]],WorkWeek,Holidays)-1,1-NETWORKDAYS.INTL(Tasks[[#This Row],[Start]],Tasks[[#This Row],[Planned Start]],WorkWeek,Holidays)))</f>
        <v/>
      </c>
      <c r="AT21" s="62" t="str">
        <f aca="false">IF(Tasks[[#This Row],[Task Name]]="","",IF(Tasks[[#This Row],[_IsSummary]],MIN(INDEX(Tasks[_LeafLateStart],Tasks[[#This Row],[_Row]]+1):INDEX(Tasks[_LeafLateStart],Tasks[[#This Row],[_Row]]+Tasks[[#This Row],[_Descendants]])),Tasks[[#This Row],[_LeafLateStart]]))</f>
        <v/>
      </c>
      <c r="AU21" s="62" t="str">
        <f aca="false">IF(Tasks[[#This Row],[Task Name]]="","",IF(Tasks[[#This Row],[_IsSummary]],MAX(INDEX(Tasks[_LeafLateFinish],Tasks[[#This Row],[_Row]]+1):INDEX(Tasks[_LeafLateFinish],Tasks[[#This Row],[_Row]]+Tasks[[#This Row],[_Descendants]])),Tasks[[#This Row],[_LeafLateFinish]]))</f>
        <v/>
      </c>
      <c r="AV21" s="46"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4"/>
      <c r="BA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5"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6"/>
      <c r="BJ21" s="22"/>
      <c r="BK21" s="46" t="str">
        <f aca="false">IF(OR(Tasks[[#This Row],[Task Name]]="",Tasks[[#This Row],[Baseline Duration]]=""),"",Tasks[[#This Row],[_SpanDays]]-N(Tasks[[#This Row],[Baseline Duration]]))</f>
        <v/>
      </c>
      <c r="BL21" s="85" t="str">
        <f aca="false">IF(OR(Tasks[[#This Row],[Task Name]]="",Tasks[[#This Row],[Baseline Work]]=""),"",Tasks[[#This Row],[Work]]-N(Tasks[[#This Row],[Baseline Work]]))</f>
        <v/>
      </c>
      <c r="BM21" s="62" t="str">
        <f aca="false">IF(Tasks[[#This Row],[Task Name]]="","",IF(OR(TakeBaseline="Yes",N(Tasks[[#This Row],[Baseline Start]])=0),Tasks[[#This Row],[Start]],Tasks[[#This Row],[Baseline Start]]))</f>
        <v/>
      </c>
      <c r="BN21" s="62"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5" t="str">
        <f aca="false">IF(Tasks[[#This Row],[Task Name]]="","",IF(OR(TakeBaseline="Yes",N(Tasks[[#This Row],[Baseline Work]])=0),Tasks[[#This Row],[Work]],Tasks[[#This Row],[Baseline Work]]))</f>
        <v/>
      </c>
      <c r="BQ21" s="7"/>
      <c r="BR21" s="7"/>
      <c r="BS21" s="22"/>
      <c r="BT21" s="87"/>
      <c r="BU21" s="42" t="str">
        <f aca="false">IF(Tasks[[#This Row],[Task Name]]="","",MAX(1,N(Tasks[[#This Row],[Level]])))</f>
        <v/>
      </c>
      <c r="BV21" s="42" t="n">
        <f aca="false">ROW()-ROW(Tasks[[#Headers],[ID]])</f>
        <v>16</v>
      </c>
      <c r="BW21" s="42" t="n">
        <f aca="false">IF(OR(Tasks[[#This Row],[Task Name]]="",Tasks[[#This Row],[_Level]]&lt;=1),0,IFERROR(LOOKUP(2,1/(Tasks[[#Headers],[_Level]]:Tasks[[#This Row],[_Level]]=Tasks[[#This Row],[_Level]]-1),ROW(Tasks[[#Headers],[_Level]]:Tasks[[#This Row],[_Level]])),0))</f>
        <v>0</v>
      </c>
      <c r="BX21" s="42" t="n">
        <f aca="false">IFERROR(N(INDEX(Tasks[_Level],Tasks[[#This Row],[_Row]]+1)),0)</f>
        <v>0</v>
      </c>
      <c r="BY21" s="88" t="b">
        <f aca="false">AND(Tasks[[#This Row],[Task Name]]&lt;&gt;"",Tasks[[#This Row],[_NextLevel]]&gt;Tasks[[#This Row],[_Level]])</f>
        <v>0</v>
      </c>
      <c r="BZ21" s="42" t="n">
        <f aca="false">IF(Tasks[[#This Row],[_IsSummary]],COUNTIF(Tasks[WBS],Tasks[[#This Row],[WBS]]&amp;".*"),0)</f>
        <v>0</v>
      </c>
      <c r="CA21" s="42" t="n">
        <f aca="false">IF(AND(Tasks[[#This Row],[Task Name]]&lt;&gt;"",NOT(Tasks[[#This Row],[_IsSummary]])),1,0)</f>
        <v>0</v>
      </c>
      <c r="CB21" s="42" t="n">
        <f aca="false">IF(N(Tasks[[#This Row],[_Pred1UID]])=0,0,IFERROR(MATCH(Tasks[[#This Row],[_Pred1UID]],Tasks[UID],0),-1))</f>
        <v>0</v>
      </c>
      <c r="CC21" s="42" t="n">
        <f aca="false">IF(N(Tasks[[#This Row],[_Pred2UID]])=0,0,IFERROR(MATCH(Tasks[[#This Row],[_Pred2UID]],Tasks[UID],0),-1))</f>
        <v>0</v>
      </c>
      <c r="CD21" s="42" t="n">
        <f aca="false">IF(N(Tasks[[#This Row],[_Pred3UID]])=0,0,IFERROR(MATCH(Tasks[[#This Row],[_Pred3UID]],Tasks[UID],0),-1))</f>
        <v>0</v>
      </c>
      <c r="CE21" s="42" t="n">
        <f aca="false">IF(N(Tasks[[#This Row],[_Pred4UID]])=0,0,IFERROR(MATCH(Tasks[[#This Row],[_Pred4UID]],Tasks[UID],0),-1))</f>
        <v>0</v>
      </c>
      <c r="CF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1" s="89" t="n">
        <f aca="false">IF(OR(Tasks[[#This Row],[_ConstraintCode]]=2,Tasks[[#This Row],[_ConstraintCode]]=3,Tasks[[#This Row],[_ConstraintCode]]=4,Tasks[[#This Row],[_ConstraintCode]]=6),Tasks[[#This Row],[_ConstraintStart]],0)</f>
        <v>0</v>
      </c>
      <c r="CI21" s="89" t="n">
        <f aca="false">IF(OR(Tasks[[#This Row],[_ConstraintCode]]=2,Tasks[[#This Row],[_ConstraintCode]]=3,Tasks[[#This Row],[_ConstraintCode]]=5,Tasks[[#This Row],[_ConstraintCode]]=7),Tasks[[#This Row],[_ConstraintStart]],2958465)</f>
        <v>2958465</v>
      </c>
      <c r="CJ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1" s="89" t="str">
        <f aca="false">IF(NOT(Tasks[[#This Row],[_IsLeaf]]=1),"",IF(N(Tasks[[#This Row],[_Days]])&lt;=0,Tasks[[#This Row],[_LeafCalcStart]],WORKDAY.INTL(Tasks[[#This Row],[_LeafCalcStart]],Tasks[[#This Row],[_Days]]-1,WorkWeek,Holidays)))</f>
        <v/>
      </c>
      <c r="CL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1" s="42" t="str">
        <f aca="false">IF(Tasks[[#This Row],[_Predecessors]]="","",TRIM(MID(SUBSTITUTE(SUBSTITUTE(SUBSTITUTE(UPPER(Tasks[[#This Row],[_Predecessors]]),";",",")," ",""),",",REPT(" ",99)),1,99)))</f>
        <v/>
      </c>
      <c r="CO21" s="42" t="str">
        <f aca="false">IF(Tasks[[#This Row],[_Pred1Text]]="","",IFERROR(VALUE(LEFT(Tasks[[#This Row],[_Pred1Text]],MIN(FIND("F",Tasks[[#This Row],[_Pred1Text]]&amp;"F"),FIND("S",Tasks[[#This Row],[_Pred1Text]]&amp;"S"),FIND("+",Tasks[[#This Row],[_Pred1Text]]&amp;"+"),FIND("-",Tasks[[#This Row],[_Pred1Text]]&amp;"-"))-1)),""))</f>
        <v/>
      </c>
      <c r="CP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1" s="42" t="str">
        <f aca="false">IF(Tasks[[#This Row],[_Pred1Text]]="","",TRIM(MID(SUBSTITUTE(SUBSTITUTE(SUBSTITUTE(UPPER(Tasks[[#This Row],[_Predecessors]]),";",",")," ",""),",",REPT(" ",99)),100,99)))</f>
        <v/>
      </c>
      <c r="CS21" s="42" t="str">
        <f aca="false">IF(Tasks[[#This Row],[_Pred2Text]]="","",IFERROR(VALUE(LEFT(Tasks[[#This Row],[_Pred2Text]],MIN(FIND("F",Tasks[[#This Row],[_Pred2Text]]&amp;"F"),FIND("S",Tasks[[#This Row],[_Pred2Text]]&amp;"S"),FIND("+",Tasks[[#This Row],[_Pred2Text]]&amp;"+"),FIND("-",Tasks[[#This Row],[_Pred2Text]]&amp;"-"))-1)),""))</f>
        <v/>
      </c>
      <c r="CT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1" s="42" t="str">
        <f aca="false">IF(Tasks[[#This Row],[_Pred2Text]]="","",TRIM(MID(SUBSTITUTE(SUBSTITUTE(SUBSTITUTE(UPPER(Tasks[[#This Row],[_Predecessors]]),";",",")," ",""),",",REPT(" ",99)),199,99)))</f>
        <v/>
      </c>
      <c r="CW21" s="42" t="str">
        <f aca="false">IF(Tasks[[#This Row],[_Pred3Text]]="","",IFERROR(VALUE(LEFT(Tasks[[#This Row],[_Pred3Text]],MIN(FIND("F",Tasks[[#This Row],[_Pred3Text]]&amp;"F"),FIND("S",Tasks[[#This Row],[_Pred3Text]]&amp;"S"),FIND("+",Tasks[[#This Row],[_Pred3Text]]&amp;"+"),FIND("-",Tasks[[#This Row],[_Pred3Text]]&amp;"-"))-1)),""))</f>
        <v/>
      </c>
      <c r="CX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1" s="42" t="str">
        <f aca="false">IF(Tasks[[#This Row],[_Pred3Text]]="","",TRIM(MID(SUBSTITUTE(SUBSTITUTE(SUBSTITUTE(UPPER(Tasks[[#This Row],[_Predecessors]]),";",",")," ",""),",",REPT(" ",99)),298,99)))</f>
        <v/>
      </c>
      <c r="DA21" s="42" t="str">
        <f aca="false">IF(Tasks[[#This Row],[_Pred4Text]]="","",IFERROR(VALUE(LEFT(Tasks[[#This Row],[_Pred4Text]],MIN(FIND("F",Tasks[[#This Row],[_Pred4Text]]&amp;"F"),FIND("S",Tasks[[#This Row],[_Pred4Text]]&amp;"S"),FIND("+",Tasks[[#This Row],[_Pred4Text]]&amp;"+"),FIND("-",Tasks[[#This Row],[_Pred4Text]]&amp;"-"))-1)),""))</f>
        <v/>
      </c>
      <c r="DB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1" s="42" t="str">
        <f aca="false">IF(OR(Tasks[[#This Row],[Task Name]]="",Tasks[[#This Row],[_Resources]]=""),"",TRIM(MID(SUBSTITUTE(Tasks[[#This Row],[_Resources]],",",REPT(" ",99)),1,99)))</f>
        <v/>
      </c>
      <c r="DE21" s="42" t="str">
        <f aca="false">IF(Tasks[[#This Row],[_Res1Text]]="","",TRIM(MID(SUBSTITUTE(Tasks[[#This Row],[_Resources]],",",REPT(" ",99)),100,99)))</f>
        <v/>
      </c>
      <c r="DF21" s="42" t="str">
        <f aca="false">IF(Tasks[[#This Row],[_Res2Text]]="","",TRIM(MID(SUBSTITUTE(Tasks[[#This Row],[_Resources]],",",REPT(" ",99)),199,99)))</f>
        <v/>
      </c>
      <c r="DG21" s="42" t="str">
        <f aca="false">IF(Tasks[[#This Row],[_Res3Text]]="","",TRIM(MID(SUBSTITUTE(Tasks[[#This Row],[_Resources]],",",REPT(" ",99)),298,99)))</f>
        <v/>
      </c>
      <c r="DH21" s="42" t="n">
        <f aca="false">IF(Tasks[[#This Row],[_Res1Text]]="",0,IFERROR(MATCH(TRIM(LEFT(Tasks[[#This Row],[_Res1Text]],FIND("[",Tasks[[#This Row],[_Res1Text]]&amp;"[")-1)),res_Name,0),IFERROR(MATCH(TRIM(LEFT(Tasks[[#This Row],[_Res1Text]],FIND("[",Tasks[[#This Row],[_Res1Text]]&amp;"[")-1)),res_Initials,0),0)))</f>
        <v>0</v>
      </c>
      <c r="DI21" s="42" t="n">
        <f aca="false">IF(Tasks[[#This Row],[_Res2Text]]="",0,IFERROR(MATCH(TRIM(LEFT(Tasks[[#This Row],[_Res2Text]],FIND("[",Tasks[[#This Row],[_Res2Text]]&amp;"[")-1)),res_Name,0),IFERROR(MATCH(TRIM(LEFT(Tasks[[#This Row],[_Res2Text]],FIND("[",Tasks[[#This Row],[_Res2Text]]&amp;"[")-1)),res_Initials,0),0)))</f>
        <v>0</v>
      </c>
      <c r="DJ21" s="42" t="n">
        <f aca="false">IF(Tasks[[#This Row],[_Res3Text]]="",0,IFERROR(MATCH(TRIM(LEFT(Tasks[[#This Row],[_Res3Text]],FIND("[",Tasks[[#This Row],[_Res3Text]]&amp;"[")-1)),res_Name,0),IFERROR(MATCH(TRIM(LEFT(Tasks[[#This Row],[_Res3Text]],FIND("[",Tasks[[#This Row],[_Res3Text]]&amp;"[")-1)),res_Initials,0),0)))</f>
        <v>0</v>
      </c>
      <c r="DK21" s="42" t="n">
        <f aca="false">IF(Tasks[[#This Row],[_Res4Text]]="",0,IFERROR(MATCH(TRIM(LEFT(Tasks[[#This Row],[_Res4Text]],FIND("[",Tasks[[#This Row],[_Res4Text]]&amp;"[")-1)),res_Name,0),IFERROR(MATCH(TRIM(LEFT(Tasks[[#This Row],[_Res4Text]],FIND("[",Tasks[[#This Row],[_Res4Text]]&amp;"[")-1)),res_Initials,0),0)))</f>
        <v>0</v>
      </c>
      <c r="DL21" s="42" t="str">
        <f aca="false">IF(Tasks[[#This Row],[_Res1Text]]="","",IF(Tasks[[#This Row],[_Res1Row]]&gt;0,INDEX(res_Name,Tasks[[#This Row],[_Res1Row]]),TRIM(LEFT(Tasks[[#This Row],[_Res1Text]],FIND("[",Tasks[[#This Row],[_Res1Text]]&amp;"[")-1))))</f>
        <v/>
      </c>
      <c r="DM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1" s="42" t="n">
        <f aca="false">IF(NOT(Tasks[[#This Row],[_IsLeaf]]=1),0,(Tasks[[#This Row],[_Resource1]]&lt;&gt;"")+(Tasks[[#This Row],[_Res2]]&lt;&gt;"")+(Tasks[[#This Row],[_Res3]]&lt;&gt;"")+(Tasks[[#This Row],[_Res4]]&lt;&gt;""))</f>
        <v>0</v>
      </c>
      <c r="DO21" s="42" t="str">
        <f aca="false">IF(Tasks[[#This Row],[_Res2Text]]="","",IF(Tasks[[#This Row],[_Res2Row]]&gt;0,INDEX(res_Name,Tasks[[#This Row],[_Res2Row]]),TRIM(LEFT(Tasks[[#This Row],[_Res2Text]],FIND("[",Tasks[[#This Row],[_Res2Text]]&amp;"[")-1))))</f>
        <v/>
      </c>
      <c r="DP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1" s="42" t="n">
        <f aca="false">IF(OR(NOT(Tasks[[#This Row],[_IsLeaf]]=1),Tasks[[#This Row],[_Res2Row]]=0),0,N(Tasks[[#This Row],[_Days]])*HoursPerDay*IF(Tasks[[#This Row],[_Res2Units]]="",DefaultUnits,Tasks[[#This Row],[_Res2Units]]))</f>
        <v>0</v>
      </c>
      <c r="DR21" s="42" t="n">
        <f aca="false">IF(AND(AND(Tasks[[#This Row],[_IsLeaf]]=1,Tasks[[#This Row],[_LeafTotalWork]]&gt;0),Tasks[[#This Row],[_Res2Work]]&gt;0),Tasks[[#This Row],[_Res2Work]]/(Tasks[[#This Row],[_FinishWorkday]]-Tasks[[#This Row],[_StartWorkday]]+1),0)</f>
        <v>0</v>
      </c>
      <c r="DS21" s="42" t="n">
        <f aca="false">Tasks[[#This Row],[_Res2WorkPerWD]]*MAX(0,Tasks[[#This Row],[_StartWorkday]]-1)</f>
        <v>0</v>
      </c>
      <c r="DT21" s="42" t="n">
        <f aca="false">Tasks[[#This Row],[_Res2Work]]*Tasks[[#This Row],[_LeafProgress]]</f>
        <v>0</v>
      </c>
      <c r="DU21" s="42" t="str">
        <f aca="false">IF(Tasks[[#This Row],[_Res3Text]]="","",IF(Tasks[[#This Row],[_Res3Row]]&gt;0,INDEX(res_Name,Tasks[[#This Row],[_Res3Row]]),TRIM(LEFT(Tasks[[#This Row],[_Res3Text]],FIND("[",Tasks[[#This Row],[_Res3Text]]&amp;"[")-1))))</f>
        <v/>
      </c>
      <c r="DV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1" s="42" t="n">
        <f aca="false">IF(OR(NOT(Tasks[[#This Row],[_IsLeaf]]=1),Tasks[[#This Row],[_Res3Row]]=0),0,N(Tasks[[#This Row],[_Days]])*HoursPerDay*IF(Tasks[[#This Row],[_Res3Units]]="",DefaultUnits,Tasks[[#This Row],[_Res3Units]]))</f>
        <v>0</v>
      </c>
      <c r="DX21" s="42" t="n">
        <f aca="false">IF(AND(AND(Tasks[[#This Row],[_IsLeaf]]=1,Tasks[[#This Row],[_LeafTotalWork]]&gt;0),Tasks[[#This Row],[_Res3Work]]&gt;0),Tasks[[#This Row],[_Res3Work]]/(Tasks[[#This Row],[_FinishWorkday]]-Tasks[[#This Row],[_StartWorkday]]+1),0)</f>
        <v>0</v>
      </c>
      <c r="DY21" s="42" t="n">
        <f aca="false">Tasks[[#This Row],[_Res3WorkPerWD]]*MAX(0,Tasks[[#This Row],[_StartWorkday]]-1)</f>
        <v>0</v>
      </c>
      <c r="DZ21" s="42" t="n">
        <f aca="false">Tasks[[#This Row],[_Res3Work]]*Tasks[[#This Row],[_LeafProgress]]</f>
        <v>0</v>
      </c>
      <c r="EA21" s="42" t="str">
        <f aca="false">IF(Tasks[[#This Row],[_Res4Text]]="","",IF(Tasks[[#This Row],[_Res4Row]]&gt;0,INDEX(res_Name,Tasks[[#This Row],[_Res4Row]]),TRIM(LEFT(Tasks[[#This Row],[_Res4Text]],FIND("[",Tasks[[#This Row],[_Res4Text]]&amp;"[")-1))))</f>
        <v/>
      </c>
      <c r="EB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1" s="42" t="n">
        <f aca="false">IF(OR(NOT(Tasks[[#This Row],[_IsLeaf]]=1),Tasks[[#This Row],[_Res4Row]]=0),0,N(Tasks[[#This Row],[_Days]])*HoursPerDay*IF(Tasks[[#This Row],[_Res4Units]]="",DefaultUnits,Tasks[[#This Row],[_Res4Units]]))</f>
        <v>0</v>
      </c>
      <c r="ED21" s="42" t="n">
        <f aca="false">IF(AND(AND(Tasks[[#This Row],[_IsLeaf]]=1,Tasks[[#This Row],[_LeafTotalWork]]&gt;0),Tasks[[#This Row],[_Res4Work]]&gt;0),Tasks[[#This Row],[_Res4Work]]/(Tasks[[#This Row],[_FinishWorkday]]-Tasks[[#This Row],[_StartWorkday]]+1),0)</f>
        <v>0</v>
      </c>
      <c r="EE21" s="42" t="n">
        <f aca="false">Tasks[[#This Row],[_Res4WorkPerWD]]*MAX(0,Tasks[[#This Row],[_StartWorkday]]-1)</f>
        <v>0</v>
      </c>
      <c r="EF21" s="42" t="n">
        <f aca="false">Tasks[[#This Row],[_Res4Work]]*Tasks[[#This Row],[_LeafProgress]]</f>
        <v>0</v>
      </c>
      <c r="EG21" s="42" t="n">
        <f aca="false">IF(ISNUMBER(Tasks[[#This Row],[% Complete]]),Tasks[[#This Row],[% Complete]],IF(Tasks[[#This Row],[Stage]]="",0,IFERROR(INDEX(stg_Pct,MATCH(Tasks[[#This Row],[Stage]],stg_Name,0)),0)))</f>
        <v>0</v>
      </c>
      <c r="EH21" s="42" t="n">
        <f aca="false">IF(NOT(Tasks[[#This Row],[_IsLeaf]]=1),0,IF(N(Tasks[[#This Row],[Actual Finish]])&gt;0,1,MIN(1,Tasks[[#This Row],[_Pct]])))</f>
        <v>0</v>
      </c>
      <c r="EI21" s="42" t="n">
        <f aca="false">IF(OR(NOT(Tasks[[#This Row],[_IsLeaf]]=1),Tasks[[#This Row],[_Res1Row]]=0),0,N(Tasks[[#This Row],[_Days]])*HoursPerDay*IF(Tasks[[#This Row],[_Units1]]="",DefaultUnits,Tasks[[#This Row],[_Units1]]))</f>
        <v>0</v>
      </c>
      <c r="EJ21" s="42" t="n">
        <f aca="false">Tasks[[#This Row],[_LeafWork]]+Tasks[[#This Row],[_Res2Work]]+Tasks[[#This Row],[_Res3Work]]+Tasks[[#This Row],[_Res4Work]]</f>
        <v>0</v>
      </c>
      <c r="EK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1" s="42" t="n">
        <f aca="false">IF(NOT(Tasks[[#This Row],[_IsLeaf]]=1),0,MAX(_xlfn.MAXIFS(Tasks[_Row],Tasks[_Pred1UID],Tasks[[#This Row],[UID]]),_xlfn.MAXIFS(Tasks[_Row],Tasks[_Pred2UID],Tasks[[#This Row],[UID]]),_xlfn.MAXIFS(Tasks[_Row],Tasks[_Pred3UID],Tasks[[#This Row],[UID]]),_xlfn.MAXIFS(Tasks[_Row],Tasks[_Pred4UID],Tasks[[#This Row],[UID]])))</f>
        <v>0</v>
      </c>
      <c r="ET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1" s="89" t="str">
        <f aca="false">IF(NOT(Tasks[[#This Row],[_IsLeaf]]=1),"",IF(N(Tasks[[#This Row],[_Days]])&lt;=0,Tasks[[#This Row],[_LeafLateFinish]],WORKDAY.INTL(Tasks[[#This Row],[_LeafLateFinish]],-(Tasks[[#This Row],[_Days]]-1),WorkWeek,Holidays)))</f>
        <v/>
      </c>
      <c r="EW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1" s="88" t="b">
        <f aca="false">AND(Tasks[[#This Row],[_IsLeaf]]=1,Tasks[[#This Row],[_LeafProgress]]&lt;1,N(Tasks[[#This Row],[_LeafTotalSlack]])&lt;=CriticalSlackDays)</f>
        <v>0</v>
      </c>
      <c r="EY21" s="42" t="n">
        <f aca="false">IF(AND(Tasks[[#This Row],[_IsLeaf]]=1,Tasks[[#This Row],[_ConstraintCode]]=1,Tasks[[#This Row],[Mode]]&lt;&gt;"Manual",N(Tasks[[#This Row],[Actual Start]])=0),MAX(0,N(Tasks[[#This Row],[Free Slack]])),0)</f>
        <v>0</v>
      </c>
      <c r="EZ21" s="89" t="str">
        <f aca="false">IF(NOT(Tasks[[#This Row],[_IsLeaf]]=1),"",IF(Tasks[[#This Row],[_AlapShift]]=0,Tasks[[#This Row],[_LeafCalcStart]],WORKDAY.INTL(Tasks[[#This Row],[_LeafCalcStart]],Tasks[[#This Row],[_AlapShift]],WorkWeek,Holidays)))</f>
        <v/>
      </c>
      <c r="FA21" s="89" t="str">
        <f aca="false">IF(NOT(Tasks[[#This Row],[_IsLeaf]]=1),"",IF(Tasks[[#This Row],[_AlapShift]]=0,Tasks[[#This Row],[_LeafCalcFinish]],WORKDAY.INTL(Tasks[[#This Row],[_LeafCalcFinish]],Tasks[[#This Row],[_AlapShift]],WorkWeek,Holidays)))</f>
        <v/>
      </c>
      <c r="FB21" s="89" t="str">
        <f aca="false">IF(NOT(Tasks[[#This Row],[_IsLeaf]]=1),"",IF(Tasks[[#This Row],[_AlapShift]]=0,Tasks[[#This Row],[_LeafFcstStart]],WORKDAY.INTL(Tasks[[#This Row],[_LeafFcstStart]],Tasks[[#This Row],[_AlapShift]],WorkWeek,Holidays)))</f>
        <v/>
      </c>
      <c r="FC21" s="89" t="str">
        <f aca="false">IF(NOT(Tasks[[#This Row],[_IsLeaf]]=1),"",IF(Tasks[[#This Row],[_AlapShift]]=0,Tasks[[#This Row],[_LeafFcstFinish]],WORKDAY.INTL(Tasks[[#This Row],[_LeafFcstFinish]],Tasks[[#This Row],[_AlapShift]],WorkWeek,Holidays)))</f>
        <v/>
      </c>
      <c r="FD21" s="89" t="str">
        <f aca="false">IF(Tasks[[#This Row],[Task Name]]="","",IF(Tasks[[#This Row],[_IsSummary]],MIN(INDEX(Tasks[_ShownCalcStart],Tasks[[#This Row],[_Row]]+1):INDEX(Tasks[_ShownCalcStart],Tasks[[#This Row],[_Row]]+Tasks[[#This Row],[_Descendants]])),Tasks[[#This Row],[_ShownCalcStart]]))</f>
        <v/>
      </c>
      <c r="FE21" s="89" t="str">
        <f aca="false">IF(Tasks[[#This Row],[Task Name]]="","",IF(Tasks[[#This Row],[_IsSummary]],MAX(INDEX(Tasks[_ShownCalcFinish],Tasks[[#This Row],[_Row]]+1):INDEX(Tasks[_ShownCalcFinish],Tasks[[#This Row],[_Row]]+Tasks[[#This Row],[_Descendants]])),Tasks[[#This Row],[_ShownCalcFinish]]))</f>
        <v/>
      </c>
      <c r="FF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1" s="42" t="n">
        <f aca="false">IF(AND(Tasks[[#This Row],[_IsLeaf]]=1,Tasks[[#This Row],[_LeafTotalWork]]&gt;0),NETWORKDAYS.INTL(ProjectStart,Tasks[[#This Row],[_ShownFcstStart]],WorkWeek,Holidays),0)</f>
        <v>0</v>
      </c>
      <c r="FS21" s="42" t="n">
        <f aca="false">IF(AND(Tasks[[#This Row],[_IsLeaf]]=1,Tasks[[#This Row],[_LeafTotalWork]]&gt;0),MAX(Tasks[[#This Row],[_StartWorkday]],NETWORKDAYS.INTL(ProjectStart,Tasks[[#This Row],[_ShownFcstFinish]],WorkWeek,Holidays)),0)</f>
        <v>0</v>
      </c>
      <c r="FT21" s="42" t="n">
        <f aca="false">IF(AND(Tasks[[#This Row],[_IsLeaf]]=1,Tasks[[#This Row],[_LeafTotalWork]]&gt;0),Tasks[[#This Row],[_LeafWork]]/(Tasks[[#This Row],[_FinishWorkday]]-Tasks[[#This Row],[_StartWorkday]]+1),0)</f>
        <v>0</v>
      </c>
      <c r="FU21" s="42" t="n">
        <f aca="false">Tasks[[#This Row],[_WorkPerWorkday]]*(Tasks[[#This Row],[_StartWorkday]]-1)</f>
        <v>-0</v>
      </c>
      <c r="FV21" s="42" t="n">
        <f aca="false">IF(Tasks[[#This Row],[_IsLeaf]]=1,MAX(N(Tasks[[#This Row],[_Days]]),0.1),0)</f>
        <v>0</v>
      </c>
      <c r="FW21" s="42" t="n">
        <f aca="false">Tasks[[#This Row],[_WeightDur]]*Tasks[[#This Row],[_LeafProgress]]</f>
        <v>0</v>
      </c>
      <c r="FX21" s="42" t="n">
        <f aca="false">Tasks[[#This Row],[_WeightDur]]*Tasks[[#This Row],[_PlannedPct]]</f>
        <v>0</v>
      </c>
      <c r="FY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1" s="42" t="str">
        <f aca="false">IF(AND(Tasks[[#This Row],[_IsLeaf]]=1,N(Tasks[[#This Row],[_Days]])=0,Tasks[[#This Row],[_LeafProgress]]&lt;1),Tasks[[#This Row],[_ShownFcstFinish]]+Tasks[[#This Row],[_Row]]/100000,"")</f>
        <v/>
      </c>
      <c r="GA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1" s="42" t="str">
        <f aca="false">IF(Tasks[[#This Row],[Task Name]]="","",LEFT(Tasks[[#This Row],[WBS]],FIND(".",Tasks[[#This Row],[WBS]]&amp;".")-1))</f>
        <v/>
      </c>
      <c r="GC21" s="42" t="str">
        <f aca="false">IF(AND(Tasks[[#This Row],[Task Name]]&lt;&gt;"",Tasks[[#This Row],[_Level]]=1),Tasks[[#This Row],[_Row]],"")</f>
        <v/>
      </c>
      <c r="GD21" s="42" t="str">
        <f aca="false">IF(AND(Tasks[[#This Row],[_IsLeaf]]=1,N(Tasks[[#This Row],[_Days]])=0),Tasks[[#This Row],[Planned Finish]]+Tasks[[#This Row],[_Row]]/100000,"")</f>
        <v/>
      </c>
      <c r="GE21" s="42" t="str">
        <f aca="false">IF(AND(Tasks[[#This Row],[_IsLeaf]]=1,Tasks[[#This Row],[_LeafProgress]]&lt;1,OR(N(Tasks[[#This Row],[Finish Var]])&gt;0,Tasks[[#This Row],[Status]]="Late Start")),MAX(0,Tasks[[#This Row],[Finish Var]])+1-Tasks[[#This Row],[_Row]]/1000000,"")</f>
        <v/>
      </c>
      <c r="GF21" s="42" t="str">
        <f aca="false">IF(AND(Tasks[[#This Row],[_IsLeaf]]=1,N(Tasks[[#This Row],[Actual Start]])=0,Tasks[[#This Row],[_ShownFcstStart]]&gt;=StatusDate,Tasks[[#This Row],[_ShownFcstStart]]&lt;=LookaheadEnd),Tasks[[#This Row],[_ShownFcstStart]]+Tasks[[#This Row],[_Row]]/100000,"")</f>
        <v/>
      </c>
      <c r="GG21" s="42" t="str">
        <f aca="false">IF(AND(Tasks[[#This Row],[_IsLeaf]]=1,Tasks[[#This Row],[_LeafProgress]]&lt;1,Tasks[[#This Row],[_ShownFcstFinish]]&gt;=StatusDate,Tasks[[#This Row],[_ShownFcstFinish]]&lt;=LookaheadEnd),Tasks[[#This Row],[_ShownFcstFinish]]+Tasks[[#This Row],[_Row]]/100000,"")</f>
        <v/>
      </c>
      <c r="GH21" s="42" t="str">
        <f aca="false">IF(Tasks[[#This Row],[_LeafCritical]],Tasks[[#This Row],[_ShownFcstStart]]+Tasks[[#This Row],[_Row]]/100000,"")</f>
        <v/>
      </c>
      <c r="GI21" s="42" t="n">
        <f aca="false">Tasks[[#This Row],[_LeafWork]]*Tasks[[#This Row],[_LeafProgress]]</f>
        <v>0</v>
      </c>
      <c r="GJ21" s="89" t="str">
        <f aca="false">IF(AND(Tasks[[#This Row],[_IsLeaf]]=1,Tasks[[#This Row],[_LeafProgress]]&gt;=1),IF(N(Tasks[[#This Row],[Actual Finish]])&gt;0,Tasks[[#This Row],[Actual Finish]],Tasks[[#This Row],[_ShownFcstFinish]]),"")</f>
        <v/>
      </c>
      <c r="GK21" s="42" t="n">
        <f aca="false">IF(Tasks[[#This Row],[_IsLeaf]]=1,N(Tasks[[#This Row],[Story Points]]),0)</f>
        <v>0</v>
      </c>
      <c r="GL21" s="42" t="str">
        <f aca="false">""</f>
        <v/>
      </c>
      <c r="GM21" s="88" t="b">
        <f aca="false">IF(Tasks[[#This Row],[Task Name]]="",FALSE(),AND(Tasks[[#This Row],[_IsLeaf]]=1,N(Tasks[[#This Row],[_Days]])=0))</f>
        <v>0</v>
      </c>
      <c r="GN21" s="89" t="n">
        <f aca="false">IF(Tasks[[#This Row],[Task Name]]="",0,IF(AND(Tasks[[#This Row],[_IsLeaf]]=1,NOT(Tasks[[#This Row],[_IsMilestone]]),N(Tasks[[#This Row],[Progress]])&gt;0),Tasks[[#This Row],[Start]],0))</f>
        <v>0</v>
      </c>
      <c r="GO21" s="89" t="n">
        <f aca="false">IF(Tasks[[#This Row],[_DoneFrom]]=0,0,IF(Tasks[[#This Row],[Progress]]&gt;=1,Tasks[[#This Row],[Finish]],MAX(Tasks[[#This Row],[_DoneFrom]],Tasks[[#This Row],[Start]]+ROUND((Tasks[[#This Row],[Finish]]-Tasks[[#This Row],[Start]]+1)*Tasks[[#This Row],[Progress]],0)-1)))</f>
        <v>0</v>
      </c>
      <c r="GP21" s="89" t="n">
        <f aca="false">IF(Tasks[[#This Row],[Task Name]]="",0,IF(OR(NOT(Tasks[[#This Row],[_IsLeaf]]=1),Tasks[[#This Row],[_IsMilestone]],N(Tasks[[#This Row],[Progress]])&gt;=1),0,IF(Tasks[[#This Row],[_DoneTo]]&gt;0,Tasks[[#This Row],[_DoneTo]]+1,Tasks[[#This Row],[Start]])))</f>
        <v>0</v>
      </c>
      <c r="GQ21" s="89" t="n">
        <f aca="false">IF(Tasks[[#This Row],[_RemFrom]]=0,0,Tasks[[#This Row],[Finish]])</f>
        <v>0</v>
      </c>
      <c r="GR21" s="88" t="b">
        <f aca="false">IF(Tasks[[#This Row],[Task Name]]="",FALSE(),OR(NOT(BaselineSet),N(Tasks[[#This Row],[Baseline Start]])&gt;0))</f>
        <v>0</v>
      </c>
      <c r="GS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1" s="90" t="str">
        <f aca="false">IF(Tasks[[#This Row],[_IsLeaf]]=1,Tasks[[#This Row],[_Row]],"")</f>
        <v/>
      </c>
      <c r="GW21" s="90" t="str">
        <f aca="false">IFERROR(INDEX(Tasks[UID],SMALL(Tasks[_PickKey],Tasks[[#This Row],[_Row]]))&amp;" "&amp;INDEX(Tasks[Task Name],SMALL(Tasks[_PickKey],Tasks[[#This Row],[_Row]])),"")</f>
        <v/>
      </c>
      <c r="GX21" s="42" t="str">
        <f aca="false">IF(Tasks[[#This Row],[Task Name]]="","",IF(Tasks[[#This Row],[_IsSummary]],NETWORKDAYS.INTL(Tasks[[#This Row],[Start]],Tasks[[#This Row],[Finish]],WorkWeek,Holidays),N(Tasks[[#This Row],[_Days]])))</f>
        <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3"/>
      <c r="U22" s="23"/>
      <c r="V22" s="83"/>
      <c r="W22" s="23"/>
      <c r="X22" s="83"/>
      <c r="Y22" s="23"/>
      <c r="Z22" s="83"/>
      <c r="AA22" s="23"/>
      <c r="AB22" s="23"/>
      <c r="AC22" s="7"/>
      <c r="AD22" s="7"/>
      <c r="AE22" s="62" t="str">
        <f aca="false">IF(Tasks[[#This Row],[Task Name]]="","",IF(Tasks[[#This Row],[_IsSummary]],MIN(INDEX(Tasks[_ShownFcstStart],Tasks[[#This Row],[_Row]]+1):INDEX(Tasks[_ShownFcstStart],Tasks[[#This Row],[_Row]]+Tasks[[#This Row],[_Descendants]])),Tasks[[#This Row],[_ShownFcstStart]]))</f>
        <v/>
      </c>
      <c r="AF22" s="62"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2" s="7"/>
      <c r="AK22" s="22"/>
      <c r="AL22" s="23"/>
      <c r="AM22" s="7"/>
      <c r="AN22" s="46"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2" t="str">
        <f aca="false">IF(Tasks[[#This Row],[Task Name]]="","",IF(N(Tasks[[#This Row],[Baseline Start]])&gt;0,Tasks[[#This Row],[Baseline Start]],Tasks[[#This Row],[_CalcStart]]))</f>
        <v/>
      </c>
      <c r="AR22" s="62" t="str">
        <f aca="false">IF(Tasks[[#This Row],[Task Name]]="","",IF(N(Tasks[[#This Row],[Baseline Finish]])&gt;0,Tasks[[#This Row],[Baseline Finish]],Tasks[[#This Row],[_CalcFinish]]))</f>
        <v/>
      </c>
      <c r="AS22" s="46" t="str">
        <f aca="false">IF(Tasks[[#This Row],[Task Name]]="","",IF(Tasks[[#This Row],[Start]]&gt;=Tasks[[#This Row],[Planned Start]],NETWORKDAYS.INTL(Tasks[[#This Row],[Planned Start]],Tasks[[#This Row],[Start]],WorkWeek,Holidays)-1,1-NETWORKDAYS.INTL(Tasks[[#This Row],[Start]],Tasks[[#This Row],[Planned Start]],WorkWeek,Holidays)))</f>
        <v/>
      </c>
      <c r="AT22" s="62" t="str">
        <f aca="false">IF(Tasks[[#This Row],[Task Name]]="","",IF(Tasks[[#This Row],[_IsSummary]],MIN(INDEX(Tasks[_LeafLateStart],Tasks[[#This Row],[_Row]]+1):INDEX(Tasks[_LeafLateStart],Tasks[[#This Row],[_Row]]+Tasks[[#This Row],[_Descendants]])),Tasks[[#This Row],[_LeafLateStart]]))</f>
        <v/>
      </c>
      <c r="AU22" s="62" t="str">
        <f aca="false">IF(Tasks[[#This Row],[Task Name]]="","",IF(Tasks[[#This Row],[_IsSummary]],MAX(INDEX(Tasks[_LeafLateFinish],Tasks[[#This Row],[_Row]]+1):INDEX(Tasks[_LeafLateFinish],Tasks[[#This Row],[_Row]]+Tasks[[#This Row],[_Descendants]])),Tasks[[#This Row],[_LeafLateFinish]]))</f>
        <v/>
      </c>
      <c r="AV22" s="46"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4"/>
      <c r="BA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5"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6"/>
      <c r="BJ22" s="22"/>
      <c r="BK22" s="46" t="str">
        <f aca="false">IF(OR(Tasks[[#This Row],[Task Name]]="",Tasks[[#This Row],[Baseline Duration]]=""),"",Tasks[[#This Row],[_SpanDays]]-N(Tasks[[#This Row],[Baseline Duration]]))</f>
        <v/>
      </c>
      <c r="BL22" s="85" t="str">
        <f aca="false">IF(OR(Tasks[[#This Row],[Task Name]]="",Tasks[[#This Row],[Baseline Work]]=""),"",Tasks[[#This Row],[Work]]-N(Tasks[[#This Row],[Baseline Work]]))</f>
        <v/>
      </c>
      <c r="BM22" s="62" t="str">
        <f aca="false">IF(Tasks[[#This Row],[Task Name]]="","",IF(OR(TakeBaseline="Yes",N(Tasks[[#This Row],[Baseline Start]])=0),Tasks[[#This Row],[Start]],Tasks[[#This Row],[Baseline Start]]))</f>
        <v/>
      </c>
      <c r="BN22" s="62"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5" t="str">
        <f aca="false">IF(Tasks[[#This Row],[Task Name]]="","",IF(OR(TakeBaseline="Yes",N(Tasks[[#This Row],[Baseline Work]])=0),Tasks[[#This Row],[Work]],Tasks[[#This Row],[Baseline Work]]))</f>
        <v/>
      </c>
      <c r="BQ22" s="7"/>
      <c r="BR22" s="7"/>
      <c r="BS22" s="22"/>
      <c r="BT22" s="87"/>
      <c r="BU22" s="42" t="str">
        <f aca="false">IF(Tasks[[#This Row],[Task Name]]="","",MAX(1,N(Tasks[[#This Row],[Level]])))</f>
        <v/>
      </c>
      <c r="BV22" s="42" t="n">
        <f aca="false">ROW()-ROW(Tasks[[#Headers],[ID]])</f>
        <v>17</v>
      </c>
      <c r="BW22" s="42" t="n">
        <f aca="false">IF(OR(Tasks[[#This Row],[Task Name]]="",Tasks[[#This Row],[_Level]]&lt;=1),0,IFERROR(LOOKUP(2,1/(Tasks[[#Headers],[_Level]]:Tasks[[#This Row],[_Level]]=Tasks[[#This Row],[_Level]]-1),ROW(Tasks[[#Headers],[_Level]]:Tasks[[#This Row],[_Level]])),0))</f>
        <v>0</v>
      </c>
      <c r="BX22" s="42" t="n">
        <f aca="false">IFERROR(N(INDEX(Tasks[_Level],Tasks[[#This Row],[_Row]]+1)),0)</f>
        <v>0</v>
      </c>
      <c r="BY22" s="88" t="b">
        <f aca="false">AND(Tasks[[#This Row],[Task Name]]&lt;&gt;"",Tasks[[#This Row],[_NextLevel]]&gt;Tasks[[#This Row],[_Level]])</f>
        <v>0</v>
      </c>
      <c r="BZ22" s="42" t="n">
        <f aca="false">IF(Tasks[[#This Row],[_IsSummary]],COUNTIF(Tasks[WBS],Tasks[[#This Row],[WBS]]&amp;".*"),0)</f>
        <v>0</v>
      </c>
      <c r="CA22" s="42" t="n">
        <f aca="false">IF(AND(Tasks[[#This Row],[Task Name]]&lt;&gt;"",NOT(Tasks[[#This Row],[_IsSummary]])),1,0)</f>
        <v>0</v>
      </c>
      <c r="CB22" s="42" t="n">
        <f aca="false">IF(N(Tasks[[#This Row],[_Pred1UID]])=0,0,IFERROR(MATCH(Tasks[[#This Row],[_Pred1UID]],Tasks[UID],0),-1))</f>
        <v>0</v>
      </c>
      <c r="CC22" s="42" t="n">
        <f aca="false">IF(N(Tasks[[#This Row],[_Pred2UID]])=0,0,IFERROR(MATCH(Tasks[[#This Row],[_Pred2UID]],Tasks[UID],0),-1))</f>
        <v>0</v>
      </c>
      <c r="CD22" s="42" t="n">
        <f aca="false">IF(N(Tasks[[#This Row],[_Pred3UID]])=0,0,IFERROR(MATCH(Tasks[[#This Row],[_Pred3UID]],Tasks[UID],0),-1))</f>
        <v>0</v>
      </c>
      <c r="CE22" s="42" t="n">
        <f aca="false">IF(N(Tasks[[#This Row],[_Pred4UID]])=0,0,IFERROR(MATCH(Tasks[[#This Row],[_Pred4UID]],Tasks[UID],0),-1))</f>
        <v>0</v>
      </c>
      <c r="CF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2" s="89" t="n">
        <f aca="false">IF(OR(Tasks[[#This Row],[_ConstraintCode]]=2,Tasks[[#This Row],[_ConstraintCode]]=3,Tasks[[#This Row],[_ConstraintCode]]=4,Tasks[[#This Row],[_ConstraintCode]]=6),Tasks[[#This Row],[_ConstraintStart]],0)</f>
        <v>0</v>
      </c>
      <c r="CI22" s="89" t="n">
        <f aca="false">IF(OR(Tasks[[#This Row],[_ConstraintCode]]=2,Tasks[[#This Row],[_ConstraintCode]]=3,Tasks[[#This Row],[_ConstraintCode]]=5,Tasks[[#This Row],[_ConstraintCode]]=7),Tasks[[#This Row],[_ConstraintStart]],2958465)</f>
        <v>2958465</v>
      </c>
      <c r="CJ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2" s="89" t="str">
        <f aca="false">IF(NOT(Tasks[[#This Row],[_IsLeaf]]=1),"",IF(N(Tasks[[#This Row],[_Days]])&lt;=0,Tasks[[#This Row],[_LeafCalcStart]],WORKDAY.INTL(Tasks[[#This Row],[_LeafCalcStart]],Tasks[[#This Row],[_Days]]-1,WorkWeek,Holidays)))</f>
        <v/>
      </c>
      <c r="CL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2" s="42" t="str">
        <f aca="false">IF(Tasks[[#This Row],[_Predecessors]]="","",TRIM(MID(SUBSTITUTE(SUBSTITUTE(SUBSTITUTE(UPPER(Tasks[[#This Row],[_Predecessors]]),";",",")," ",""),",",REPT(" ",99)),1,99)))</f>
        <v/>
      </c>
      <c r="CO22" s="42" t="str">
        <f aca="false">IF(Tasks[[#This Row],[_Pred1Text]]="","",IFERROR(VALUE(LEFT(Tasks[[#This Row],[_Pred1Text]],MIN(FIND("F",Tasks[[#This Row],[_Pred1Text]]&amp;"F"),FIND("S",Tasks[[#This Row],[_Pred1Text]]&amp;"S"),FIND("+",Tasks[[#This Row],[_Pred1Text]]&amp;"+"),FIND("-",Tasks[[#This Row],[_Pred1Text]]&amp;"-"))-1)),""))</f>
        <v/>
      </c>
      <c r="CP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2" s="42" t="str">
        <f aca="false">IF(Tasks[[#This Row],[_Pred1Text]]="","",TRIM(MID(SUBSTITUTE(SUBSTITUTE(SUBSTITUTE(UPPER(Tasks[[#This Row],[_Predecessors]]),";",",")," ",""),",",REPT(" ",99)),100,99)))</f>
        <v/>
      </c>
      <c r="CS22" s="42" t="str">
        <f aca="false">IF(Tasks[[#This Row],[_Pred2Text]]="","",IFERROR(VALUE(LEFT(Tasks[[#This Row],[_Pred2Text]],MIN(FIND("F",Tasks[[#This Row],[_Pred2Text]]&amp;"F"),FIND("S",Tasks[[#This Row],[_Pred2Text]]&amp;"S"),FIND("+",Tasks[[#This Row],[_Pred2Text]]&amp;"+"),FIND("-",Tasks[[#This Row],[_Pred2Text]]&amp;"-"))-1)),""))</f>
        <v/>
      </c>
      <c r="CT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2" s="42" t="str">
        <f aca="false">IF(Tasks[[#This Row],[_Pred2Text]]="","",TRIM(MID(SUBSTITUTE(SUBSTITUTE(SUBSTITUTE(UPPER(Tasks[[#This Row],[_Predecessors]]),";",",")," ",""),",",REPT(" ",99)),199,99)))</f>
        <v/>
      </c>
      <c r="CW22" s="42" t="str">
        <f aca="false">IF(Tasks[[#This Row],[_Pred3Text]]="","",IFERROR(VALUE(LEFT(Tasks[[#This Row],[_Pred3Text]],MIN(FIND("F",Tasks[[#This Row],[_Pred3Text]]&amp;"F"),FIND("S",Tasks[[#This Row],[_Pred3Text]]&amp;"S"),FIND("+",Tasks[[#This Row],[_Pred3Text]]&amp;"+"),FIND("-",Tasks[[#This Row],[_Pred3Text]]&amp;"-"))-1)),""))</f>
        <v/>
      </c>
      <c r="CX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2" s="42" t="str">
        <f aca="false">IF(Tasks[[#This Row],[_Pred3Text]]="","",TRIM(MID(SUBSTITUTE(SUBSTITUTE(SUBSTITUTE(UPPER(Tasks[[#This Row],[_Predecessors]]),";",",")," ",""),",",REPT(" ",99)),298,99)))</f>
        <v/>
      </c>
      <c r="DA22" s="42" t="str">
        <f aca="false">IF(Tasks[[#This Row],[_Pred4Text]]="","",IFERROR(VALUE(LEFT(Tasks[[#This Row],[_Pred4Text]],MIN(FIND("F",Tasks[[#This Row],[_Pred4Text]]&amp;"F"),FIND("S",Tasks[[#This Row],[_Pred4Text]]&amp;"S"),FIND("+",Tasks[[#This Row],[_Pred4Text]]&amp;"+"),FIND("-",Tasks[[#This Row],[_Pred4Text]]&amp;"-"))-1)),""))</f>
        <v/>
      </c>
      <c r="DB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2" s="42" t="str">
        <f aca="false">IF(OR(Tasks[[#This Row],[Task Name]]="",Tasks[[#This Row],[_Resources]]=""),"",TRIM(MID(SUBSTITUTE(Tasks[[#This Row],[_Resources]],",",REPT(" ",99)),1,99)))</f>
        <v/>
      </c>
      <c r="DE22" s="42" t="str">
        <f aca="false">IF(Tasks[[#This Row],[_Res1Text]]="","",TRIM(MID(SUBSTITUTE(Tasks[[#This Row],[_Resources]],",",REPT(" ",99)),100,99)))</f>
        <v/>
      </c>
      <c r="DF22" s="42" t="str">
        <f aca="false">IF(Tasks[[#This Row],[_Res2Text]]="","",TRIM(MID(SUBSTITUTE(Tasks[[#This Row],[_Resources]],",",REPT(" ",99)),199,99)))</f>
        <v/>
      </c>
      <c r="DG22" s="42" t="str">
        <f aca="false">IF(Tasks[[#This Row],[_Res3Text]]="","",TRIM(MID(SUBSTITUTE(Tasks[[#This Row],[_Resources]],",",REPT(" ",99)),298,99)))</f>
        <v/>
      </c>
      <c r="DH22" s="42" t="n">
        <f aca="false">IF(Tasks[[#This Row],[_Res1Text]]="",0,IFERROR(MATCH(TRIM(LEFT(Tasks[[#This Row],[_Res1Text]],FIND("[",Tasks[[#This Row],[_Res1Text]]&amp;"[")-1)),res_Name,0),IFERROR(MATCH(TRIM(LEFT(Tasks[[#This Row],[_Res1Text]],FIND("[",Tasks[[#This Row],[_Res1Text]]&amp;"[")-1)),res_Initials,0),0)))</f>
        <v>0</v>
      </c>
      <c r="DI22" s="42" t="n">
        <f aca="false">IF(Tasks[[#This Row],[_Res2Text]]="",0,IFERROR(MATCH(TRIM(LEFT(Tasks[[#This Row],[_Res2Text]],FIND("[",Tasks[[#This Row],[_Res2Text]]&amp;"[")-1)),res_Name,0),IFERROR(MATCH(TRIM(LEFT(Tasks[[#This Row],[_Res2Text]],FIND("[",Tasks[[#This Row],[_Res2Text]]&amp;"[")-1)),res_Initials,0),0)))</f>
        <v>0</v>
      </c>
      <c r="DJ22" s="42" t="n">
        <f aca="false">IF(Tasks[[#This Row],[_Res3Text]]="",0,IFERROR(MATCH(TRIM(LEFT(Tasks[[#This Row],[_Res3Text]],FIND("[",Tasks[[#This Row],[_Res3Text]]&amp;"[")-1)),res_Name,0),IFERROR(MATCH(TRIM(LEFT(Tasks[[#This Row],[_Res3Text]],FIND("[",Tasks[[#This Row],[_Res3Text]]&amp;"[")-1)),res_Initials,0),0)))</f>
        <v>0</v>
      </c>
      <c r="DK22" s="42" t="n">
        <f aca="false">IF(Tasks[[#This Row],[_Res4Text]]="",0,IFERROR(MATCH(TRIM(LEFT(Tasks[[#This Row],[_Res4Text]],FIND("[",Tasks[[#This Row],[_Res4Text]]&amp;"[")-1)),res_Name,0),IFERROR(MATCH(TRIM(LEFT(Tasks[[#This Row],[_Res4Text]],FIND("[",Tasks[[#This Row],[_Res4Text]]&amp;"[")-1)),res_Initials,0),0)))</f>
        <v>0</v>
      </c>
      <c r="DL22" s="42" t="str">
        <f aca="false">IF(Tasks[[#This Row],[_Res1Text]]="","",IF(Tasks[[#This Row],[_Res1Row]]&gt;0,INDEX(res_Name,Tasks[[#This Row],[_Res1Row]]),TRIM(LEFT(Tasks[[#This Row],[_Res1Text]],FIND("[",Tasks[[#This Row],[_Res1Text]]&amp;"[")-1))))</f>
        <v/>
      </c>
      <c r="DM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2" s="42" t="n">
        <f aca="false">IF(NOT(Tasks[[#This Row],[_IsLeaf]]=1),0,(Tasks[[#This Row],[_Resource1]]&lt;&gt;"")+(Tasks[[#This Row],[_Res2]]&lt;&gt;"")+(Tasks[[#This Row],[_Res3]]&lt;&gt;"")+(Tasks[[#This Row],[_Res4]]&lt;&gt;""))</f>
        <v>0</v>
      </c>
      <c r="DO22" s="42" t="str">
        <f aca="false">IF(Tasks[[#This Row],[_Res2Text]]="","",IF(Tasks[[#This Row],[_Res2Row]]&gt;0,INDEX(res_Name,Tasks[[#This Row],[_Res2Row]]),TRIM(LEFT(Tasks[[#This Row],[_Res2Text]],FIND("[",Tasks[[#This Row],[_Res2Text]]&amp;"[")-1))))</f>
        <v/>
      </c>
      <c r="DP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2" s="42" t="n">
        <f aca="false">IF(OR(NOT(Tasks[[#This Row],[_IsLeaf]]=1),Tasks[[#This Row],[_Res2Row]]=0),0,N(Tasks[[#This Row],[_Days]])*HoursPerDay*IF(Tasks[[#This Row],[_Res2Units]]="",DefaultUnits,Tasks[[#This Row],[_Res2Units]]))</f>
        <v>0</v>
      </c>
      <c r="DR22" s="42" t="n">
        <f aca="false">IF(AND(AND(Tasks[[#This Row],[_IsLeaf]]=1,Tasks[[#This Row],[_LeafTotalWork]]&gt;0),Tasks[[#This Row],[_Res2Work]]&gt;0),Tasks[[#This Row],[_Res2Work]]/(Tasks[[#This Row],[_FinishWorkday]]-Tasks[[#This Row],[_StartWorkday]]+1),0)</f>
        <v>0</v>
      </c>
      <c r="DS22" s="42" t="n">
        <f aca="false">Tasks[[#This Row],[_Res2WorkPerWD]]*MAX(0,Tasks[[#This Row],[_StartWorkday]]-1)</f>
        <v>0</v>
      </c>
      <c r="DT22" s="42" t="n">
        <f aca="false">Tasks[[#This Row],[_Res2Work]]*Tasks[[#This Row],[_LeafProgress]]</f>
        <v>0</v>
      </c>
      <c r="DU22" s="42" t="str">
        <f aca="false">IF(Tasks[[#This Row],[_Res3Text]]="","",IF(Tasks[[#This Row],[_Res3Row]]&gt;0,INDEX(res_Name,Tasks[[#This Row],[_Res3Row]]),TRIM(LEFT(Tasks[[#This Row],[_Res3Text]],FIND("[",Tasks[[#This Row],[_Res3Text]]&amp;"[")-1))))</f>
        <v/>
      </c>
      <c r="DV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2" s="42" t="n">
        <f aca="false">IF(OR(NOT(Tasks[[#This Row],[_IsLeaf]]=1),Tasks[[#This Row],[_Res3Row]]=0),0,N(Tasks[[#This Row],[_Days]])*HoursPerDay*IF(Tasks[[#This Row],[_Res3Units]]="",DefaultUnits,Tasks[[#This Row],[_Res3Units]]))</f>
        <v>0</v>
      </c>
      <c r="DX22" s="42" t="n">
        <f aca="false">IF(AND(AND(Tasks[[#This Row],[_IsLeaf]]=1,Tasks[[#This Row],[_LeafTotalWork]]&gt;0),Tasks[[#This Row],[_Res3Work]]&gt;0),Tasks[[#This Row],[_Res3Work]]/(Tasks[[#This Row],[_FinishWorkday]]-Tasks[[#This Row],[_StartWorkday]]+1),0)</f>
        <v>0</v>
      </c>
      <c r="DY22" s="42" t="n">
        <f aca="false">Tasks[[#This Row],[_Res3WorkPerWD]]*MAX(0,Tasks[[#This Row],[_StartWorkday]]-1)</f>
        <v>0</v>
      </c>
      <c r="DZ22" s="42" t="n">
        <f aca="false">Tasks[[#This Row],[_Res3Work]]*Tasks[[#This Row],[_LeafProgress]]</f>
        <v>0</v>
      </c>
      <c r="EA22" s="42" t="str">
        <f aca="false">IF(Tasks[[#This Row],[_Res4Text]]="","",IF(Tasks[[#This Row],[_Res4Row]]&gt;0,INDEX(res_Name,Tasks[[#This Row],[_Res4Row]]),TRIM(LEFT(Tasks[[#This Row],[_Res4Text]],FIND("[",Tasks[[#This Row],[_Res4Text]]&amp;"[")-1))))</f>
        <v/>
      </c>
      <c r="EB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2" s="42" t="n">
        <f aca="false">IF(OR(NOT(Tasks[[#This Row],[_IsLeaf]]=1),Tasks[[#This Row],[_Res4Row]]=0),0,N(Tasks[[#This Row],[_Days]])*HoursPerDay*IF(Tasks[[#This Row],[_Res4Units]]="",DefaultUnits,Tasks[[#This Row],[_Res4Units]]))</f>
        <v>0</v>
      </c>
      <c r="ED22" s="42" t="n">
        <f aca="false">IF(AND(AND(Tasks[[#This Row],[_IsLeaf]]=1,Tasks[[#This Row],[_LeafTotalWork]]&gt;0),Tasks[[#This Row],[_Res4Work]]&gt;0),Tasks[[#This Row],[_Res4Work]]/(Tasks[[#This Row],[_FinishWorkday]]-Tasks[[#This Row],[_StartWorkday]]+1),0)</f>
        <v>0</v>
      </c>
      <c r="EE22" s="42" t="n">
        <f aca="false">Tasks[[#This Row],[_Res4WorkPerWD]]*MAX(0,Tasks[[#This Row],[_StartWorkday]]-1)</f>
        <v>0</v>
      </c>
      <c r="EF22" s="42" t="n">
        <f aca="false">Tasks[[#This Row],[_Res4Work]]*Tasks[[#This Row],[_LeafProgress]]</f>
        <v>0</v>
      </c>
      <c r="EG22" s="42" t="n">
        <f aca="false">IF(ISNUMBER(Tasks[[#This Row],[% Complete]]),Tasks[[#This Row],[% Complete]],IF(Tasks[[#This Row],[Stage]]="",0,IFERROR(INDEX(stg_Pct,MATCH(Tasks[[#This Row],[Stage]],stg_Name,0)),0)))</f>
        <v>0</v>
      </c>
      <c r="EH22" s="42" t="n">
        <f aca="false">IF(NOT(Tasks[[#This Row],[_IsLeaf]]=1),0,IF(N(Tasks[[#This Row],[Actual Finish]])&gt;0,1,MIN(1,Tasks[[#This Row],[_Pct]])))</f>
        <v>0</v>
      </c>
      <c r="EI22" s="42" t="n">
        <f aca="false">IF(OR(NOT(Tasks[[#This Row],[_IsLeaf]]=1),Tasks[[#This Row],[_Res1Row]]=0),0,N(Tasks[[#This Row],[_Days]])*HoursPerDay*IF(Tasks[[#This Row],[_Units1]]="",DefaultUnits,Tasks[[#This Row],[_Units1]]))</f>
        <v>0</v>
      </c>
      <c r="EJ22" s="42" t="n">
        <f aca="false">Tasks[[#This Row],[_LeafWork]]+Tasks[[#This Row],[_Res2Work]]+Tasks[[#This Row],[_Res3Work]]+Tasks[[#This Row],[_Res4Work]]</f>
        <v>0</v>
      </c>
      <c r="EK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2" s="42" t="n">
        <f aca="false">IF(NOT(Tasks[[#This Row],[_IsLeaf]]=1),0,MAX(_xlfn.MAXIFS(Tasks[_Row],Tasks[_Pred1UID],Tasks[[#This Row],[UID]]),_xlfn.MAXIFS(Tasks[_Row],Tasks[_Pred2UID],Tasks[[#This Row],[UID]]),_xlfn.MAXIFS(Tasks[_Row],Tasks[_Pred3UID],Tasks[[#This Row],[UID]]),_xlfn.MAXIFS(Tasks[_Row],Tasks[_Pred4UID],Tasks[[#This Row],[UID]])))</f>
        <v>0</v>
      </c>
      <c r="ET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2" s="89" t="str">
        <f aca="false">IF(NOT(Tasks[[#This Row],[_IsLeaf]]=1),"",IF(N(Tasks[[#This Row],[_Days]])&lt;=0,Tasks[[#This Row],[_LeafLateFinish]],WORKDAY.INTL(Tasks[[#This Row],[_LeafLateFinish]],-(Tasks[[#This Row],[_Days]]-1),WorkWeek,Holidays)))</f>
        <v/>
      </c>
      <c r="EW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2" s="88" t="b">
        <f aca="false">AND(Tasks[[#This Row],[_IsLeaf]]=1,Tasks[[#This Row],[_LeafProgress]]&lt;1,N(Tasks[[#This Row],[_LeafTotalSlack]])&lt;=CriticalSlackDays)</f>
        <v>0</v>
      </c>
      <c r="EY22" s="42" t="n">
        <f aca="false">IF(AND(Tasks[[#This Row],[_IsLeaf]]=1,Tasks[[#This Row],[_ConstraintCode]]=1,Tasks[[#This Row],[Mode]]&lt;&gt;"Manual",N(Tasks[[#This Row],[Actual Start]])=0),MAX(0,N(Tasks[[#This Row],[Free Slack]])),0)</f>
        <v>0</v>
      </c>
      <c r="EZ22" s="89" t="str">
        <f aca="false">IF(NOT(Tasks[[#This Row],[_IsLeaf]]=1),"",IF(Tasks[[#This Row],[_AlapShift]]=0,Tasks[[#This Row],[_LeafCalcStart]],WORKDAY.INTL(Tasks[[#This Row],[_LeafCalcStart]],Tasks[[#This Row],[_AlapShift]],WorkWeek,Holidays)))</f>
        <v/>
      </c>
      <c r="FA22" s="89" t="str">
        <f aca="false">IF(NOT(Tasks[[#This Row],[_IsLeaf]]=1),"",IF(Tasks[[#This Row],[_AlapShift]]=0,Tasks[[#This Row],[_LeafCalcFinish]],WORKDAY.INTL(Tasks[[#This Row],[_LeafCalcFinish]],Tasks[[#This Row],[_AlapShift]],WorkWeek,Holidays)))</f>
        <v/>
      </c>
      <c r="FB22" s="89" t="str">
        <f aca="false">IF(NOT(Tasks[[#This Row],[_IsLeaf]]=1),"",IF(Tasks[[#This Row],[_AlapShift]]=0,Tasks[[#This Row],[_LeafFcstStart]],WORKDAY.INTL(Tasks[[#This Row],[_LeafFcstStart]],Tasks[[#This Row],[_AlapShift]],WorkWeek,Holidays)))</f>
        <v/>
      </c>
      <c r="FC22" s="89" t="str">
        <f aca="false">IF(NOT(Tasks[[#This Row],[_IsLeaf]]=1),"",IF(Tasks[[#This Row],[_AlapShift]]=0,Tasks[[#This Row],[_LeafFcstFinish]],WORKDAY.INTL(Tasks[[#This Row],[_LeafFcstFinish]],Tasks[[#This Row],[_AlapShift]],WorkWeek,Holidays)))</f>
        <v/>
      </c>
      <c r="FD22" s="89" t="str">
        <f aca="false">IF(Tasks[[#This Row],[Task Name]]="","",IF(Tasks[[#This Row],[_IsSummary]],MIN(INDEX(Tasks[_ShownCalcStart],Tasks[[#This Row],[_Row]]+1):INDEX(Tasks[_ShownCalcStart],Tasks[[#This Row],[_Row]]+Tasks[[#This Row],[_Descendants]])),Tasks[[#This Row],[_ShownCalcStart]]))</f>
        <v/>
      </c>
      <c r="FE22" s="89" t="str">
        <f aca="false">IF(Tasks[[#This Row],[Task Name]]="","",IF(Tasks[[#This Row],[_IsSummary]],MAX(INDEX(Tasks[_ShownCalcFinish],Tasks[[#This Row],[_Row]]+1):INDEX(Tasks[_ShownCalcFinish],Tasks[[#This Row],[_Row]]+Tasks[[#This Row],[_Descendants]])),Tasks[[#This Row],[_ShownCalcFinish]]))</f>
        <v/>
      </c>
      <c r="FF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2" s="42" t="n">
        <f aca="false">IF(AND(Tasks[[#This Row],[_IsLeaf]]=1,Tasks[[#This Row],[_LeafTotalWork]]&gt;0),NETWORKDAYS.INTL(ProjectStart,Tasks[[#This Row],[_ShownFcstStart]],WorkWeek,Holidays),0)</f>
        <v>0</v>
      </c>
      <c r="FS22" s="42" t="n">
        <f aca="false">IF(AND(Tasks[[#This Row],[_IsLeaf]]=1,Tasks[[#This Row],[_LeafTotalWork]]&gt;0),MAX(Tasks[[#This Row],[_StartWorkday]],NETWORKDAYS.INTL(ProjectStart,Tasks[[#This Row],[_ShownFcstFinish]],WorkWeek,Holidays)),0)</f>
        <v>0</v>
      </c>
      <c r="FT22" s="42" t="n">
        <f aca="false">IF(AND(Tasks[[#This Row],[_IsLeaf]]=1,Tasks[[#This Row],[_LeafTotalWork]]&gt;0),Tasks[[#This Row],[_LeafWork]]/(Tasks[[#This Row],[_FinishWorkday]]-Tasks[[#This Row],[_StartWorkday]]+1),0)</f>
        <v>0</v>
      </c>
      <c r="FU22" s="42" t="n">
        <f aca="false">Tasks[[#This Row],[_WorkPerWorkday]]*(Tasks[[#This Row],[_StartWorkday]]-1)</f>
        <v>-0</v>
      </c>
      <c r="FV22" s="42" t="n">
        <f aca="false">IF(Tasks[[#This Row],[_IsLeaf]]=1,MAX(N(Tasks[[#This Row],[_Days]]),0.1),0)</f>
        <v>0</v>
      </c>
      <c r="FW22" s="42" t="n">
        <f aca="false">Tasks[[#This Row],[_WeightDur]]*Tasks[[#This Row],[_LeafProgress]]</f>
        <v>0</v>
      </c>
      <c r="FX22" s="42" t="n">
        <f aca="false">Tasks[[#This Row],[_WeightDur]]*Tasks[[#This Row],[_PlannedPct]]</f>
        <v>0</v>
      </c>
      <c r="FY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2" s="42" t="str">
        <f aca="false">IF(AND(Tasks[[#This Row],[_IsLeaf]]=1,N(Tasks[[#This Row],[_Days]])=0,Tasks[[#This Row],[_LeafProgress]]&lt;1),Tasks[[#This Row],[_ShownFcstFinish]]+Tasks[[#This Row],[_Row]]/100000,"")</f>
        <v/>
      </c>
      <c r="GA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2" s="42" t="str">
        <f aca="false">IF(Tasks[[#This Row],[Task Name]]="","",LEFT(Tasks[[#This Row],[WBS]],FIND(".",Tasks[[#This Row],[WBS]]&amp;".")-1))</f>
        <v/>
      </c>
      <c r="GC22" s="42" t="str">
        <f aca="false">IF(AND(Tasks[[#This Row],[Task Name]]&lt;&gt;"",Tasks[[#This Row],[_Level]]=1),Tasks[[#This Row],[_Row]],"")</f>
        <v/>
      </c>
      <c r="GD22" s="42" t="str">
        <f aca="false">IF(AND(Tasks[[#This Row],[_IsLeaf]]=1,N(Tasks[[#This Row],[_Days]])=0),Tasks[[#This Row],[Planned Finish]]+Tasks[[#This Row],[_Row]]/100000,"")</f>
        <v/>
      </c>
      <c r="GE22" s="42" t="str">
        <f aca="false">IF(AND(Tasks[[#This Row],[_IsLeaf]]=1,Tasks[[#This Row],[_LeafProgress]]&lt;1,OR(N(Tasks[[#This Row],[Finish Var]])&gt;0,Tasks[[#This Row],[Status]]="Late Start")),MAX(0,Tasks[[#This Row],[Finish Var]])+1-Tasks[[#This Row],[_Row]]/1000000,"")</f>
        <v/>
      </c>
      <c r="GF22" s="42" t="str">
        <f aca="false">IF(AND(Tasks[[#This Row],[_IsLeaf]]=1,N(Tasks[[#This Row],[Actual Start]])=0,Tasks[[#This Row],[_ShownFcstStart]]&gt;=StatusDate,Tasks[[#This Row],[_ShownFcstStart]]&lt;=LookaheadEnd),Tasks[[#This Row],[_ShownFcstStart]]+Tasks[[#This Row],[_Row]]/100000,"")</f>
        <v/>
      </c>
      <c r="GG22" s="42" t="str">
        <f aca="false">IF(AND(Tasks[[#This Row],[_IsLeaf]]=1,Tasks[[#This Row],[_LeafProgress]]&lt;1,Tasks[[#This Row],[_ShownFcstFinish]]&gt;=StatusDate,Tasks[[#This Row],[_ShownFcstFinish]]&lt;=LookaheadEnd),Tasks[[#This Row],[_ShownFcstFinish]]+Tasks[[#This Row],[_Row]]/100000,"")</f>
        <v/>
      </c>
      <c r="GH22" s="42" t="str">
        <f aca="false">IF(Tasks[[#This Row],[_LeafCritical]],Tasks[[#This Row],[_ShownFcstStart]]+Tasks[[#This Row],[_Row]]/100000,"")</f>
        <v/>
      </c>
      <c r="GI22" s="42" t="n">
        <f aca="false">Tasks[[#This Row],[_LeafWork]]*Tasks[[#This Row],[_LeafProgress]]</f>
        <v>0</v>
      </c>
      <c r="GJ22" s="89" t="str">
        <f aca="false">IF(AND(Tasks[[#This Row],[_IsLeaf]]=1,Tasks[[#This Row],[_LeafProgress]]&gt;=1),IF(N(Tasks[[#This Row],[Actual Finish]])&gt;0,Tasks[[#This Row],[Actual Finish]],Tasks[[#This Row],[_ShownFcstFinish]]),"")</f>
        <v/>
      </c>
      <c r="GK22" s="42" t="n">
        <f aca="false">IF(Tasks[[#This Row],[_IsLeaf]]=1,N(Tasks[[#This Row],[Story Points]]),0)</f>
        <v>0</v>
      </c>
      <c r="GL22" s="42" t="str">
        <f aca="false">""</f>
        <v/>
      </c>
      <c r="GM22" s="88" t="b">
        <f aca="false">IF(Tasks[[#This Row],[Task Name]]="",FALSE(),AND(Tasks[[#This Row],[_IsLeaf]]=1,N(Tasks[[#This Row],[_Days]])=0))</f>
        <v>0</v>
      </c>
      <c r="GN22" s="89" t="n">
        <f aca="false">IF(Tasks[[#This Row],[Task Name]]="",0,IF(AND(Tasks[[#This Row],[_IsLeaf]]=1,NOT(Tasks[[#This Row],[_IsMilestone]]),N(Tasks[[#This Row],[Progress]])&gt;0),Tasks[[#This Row],[Start]],0))</f>
        <v>0</v>
      </c>
      <c r="GO22" s="89" t="n">
        <f aca="false">IF(Tasks[[#This Row],[_DoneFrom]]=0,0,IF(Tasks[[#This Row],[Progress]]&gt;=1,Tasks[[#This Row],[Finish]],MAX(Tasks[[#This Row],[_DoneFrom]],Tasks[[#This Row],[Start]]+ROUND((Tasks[[#This Row],[Finish]]-Tasks[[#This Row],[Start]]+1)*Tasks[[#This Row],[Progress]],0)-1)))</f>
        <v>0</v>
      </c>
      <c r="GP22" s="89" t="n">
        <f aca="false">IF(Tasks[[#This Row],[Task Name]]="",0,IF(OR(NOT(Tasks[[#This Row],[_IsLeaf]]=1),Tasks[[#This Row],[_IsMilestone]],N(Tasks[[#This Row],[Progress]])&gt;=1),0,IF(Tasks[[#This Row],[_DoneTo]]&gt;0,Tasks[[#This Row],[_DoneTo]]+1,Tasks[[#This Row],[Start]])))</f>
        <v>0</v>
      </c>
      <c r="GQ22" s="89" t="n">
        <f aca="false">IF(Tasks[[#This Row],[_RemFrom]]=0,0,Tasks[[#This Row],[Finish]])</f>
        <v>0</v>
      </c>
      <c r="GR22" s="88" t="b">
        <f aca="false">IF(Tasks[[#This Row],[Task Name]]="",FALSE(),OR(NOT(BaselineSet),N(Tasks[[#This Row],[Baseline Start]])&gt;0))</f>
        <v>0</v>
      </c>
      <c r="GS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2" s="90" t="str">
        <f aca="false">IF(Tasks[[#This Row],[_IsLeaf]]=1,Tasks[[#This Row],[_Row]],"")</f>
        <v/>
      </c>
      <c r="GW22" s="90" t="str">
        <f aca="false">IFERROR(INDEX(Tasks[UID],SMALL(Tasks[_PickKey],Tasks[[#This Row],[_Row]]))&amp;" "&amp;INDEX(Tasks[Task Name],SMALL(Tasks[_PickKey],Tasks[[#This Row],[_Row]])),"")</f>
        <v/>
      </c>
      <c r="GX22" s="42" t="str">
        <f aca="false">IF(Tasks[[#This Row],[Task Name]]="","",IF(Tasks[[#This Row],[_IsSummary]],NETWORKDAYS.INTL(Tasks[[#This Row],[Start]],Tasks[[#This Row],[Finish]],WorkWeek,Holidays),N(Tasks[[#This Row],[_Days]])))</f>
        <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3"/>
      <c r="U23" s="23"/>
      <c r="V23" s="83"/>
      <c r="W23" s="23"/>
      <c r="X23" s="83"/>
      <c r="Y23" s="23"/>
      <c r="Z23" s="83"/>
      <c r="AA23" s="23"/>
      <c r="AB23" s="23"/>
      <c r="AC23" s="7"/>
      <c r="AD23" s="7"/>
      <c r="AE23" s="62" t="str">
        <f aca="false">IF(Tasks[[#This Row],[Task Name]]="","",IF(Tasks[[#This Row],[_IsSummary]],MIN(INDEX(Tasks[_ShownFcstStart],Tasks[[#This Row],[_Row]]+1):INDEX(Tasks[_ShownFcstStart],Tasks[[#This Row],[_Row]]+Tasks[[#This Row],[_Descendants]])),Tasks[[#This Row],[_ShownFcstStart]]))</f>
        <v/>
      </c>
      <c r="AF23" s="62"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3" s="7"/>
      <c r="AK23" s="22"/>
      <c r="AL23" s="23"/>
      <c r="AM23" s="7"/>
      <c r="AN23" s="46"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2" t="str">
        <f aca="false">IF(Tasks[[#This Row],[Task Name]]="","",IF(N(Tasks[[#This Row],[Baseline Start]])&gt;0,Tasks[[#This Row],[Baseline Start]],Tasks[[#This Row],[_CalcStart]]))</f>
        <v/>
      </c>
      <c r="AR23" s="62" t="str">
        <f aca="false">IF(Tasks[[#This Row],[Task Name]]="","",IF(N(Tasks[[#This Row],[Baseline Finish]])&gt;0,Tasks[[#This Row],[Baseline Finish]],Tasks[[#This Row],[_CalcFinish]]))</f>
        <v/>
      </c>
      <c r="AS23" s="46" t="str">
        <f aca="false">IF(Tasks[[#This Row],[Task Name]]="","",IF(Tasks[[#This Row],[Start]]&gt;=Tasks[[#This Row],[Planned Start]],NETWORKDAYS.INTL(Tasks[[#This Row],[Planned Start]],Tasks[[#This Row],[Start]],WorkWeek,Holidays)-1,1-NETWORKDAYS.INTL(Tasks[[#This Row],[Start]],Tasks[[#This Row],[Planned Start]],WorkWeek,Holidays)))</f>
        <v/>
      </c>
      <c r="AT23" s="62" t="str">
        <f aca="false">IF(Tasks[[#This Row],[Task Name]]="","",IF(Tasks[[#This Row],[_IsSummary]],MIN(INDEX(Tasks[_LeafLateStart],Tasks[[#This Row],[_Row]]+1):INDEX(Tasks[_LeafLateStart],Tasks[[#This Row],[_Row]]+Tasks[[#This Row],[_Descendants]])),Tasks[[#This Row],[_LeafLateStart]]))</f>
        <v/>
      </c>
      <c r="AU23" s="62" t="str">
        <f aca="false">IF(Tasks[[#This Row],[Task Name]]="","",IF(Tasks[[#This Row],[_IsSummary]],MAX(INDEX(Tasks[_LeafLateFinish],Tasks[[#This Row],[_Row]]+1):INDEX(Tasks[_LeafLateFinish],Tasks[[#This Row],[_Row]]+Tasks[[#This Row],[_Descendants]])),Tasks[[#This Row],[_LeafLateFinish]]))</f>
        <v/>
      </c>
      <c r="AV23" s="46"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4"/>
      <c r="BA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5"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6"/>
      <c r="BJ23" s="22"/>
      <c r="BK23" s="46" t="str">
        <f aca="false">IF(OR(Tasks[[#This Row],[Task Name]]="",Tasks[[#This Row],[Baseline Duration]]=""),"",Tasks[[#This Row],[_SpanDays]]-N(Tasks[[#This Row],[Baseline Duration]]))</f>
        <v/>
      </c>
      <c r="BL23" s="85" t="str">
        <f aca="false">IF(OR(Tasks[[#This Row],[Task Name]]="",Tasks[[#This Row],[Baseline Work]]=""),"",Tasks[[#This Row],[Work]]-N(Tasks[[#This Row],[Baseline Work]]))</f>
        <v/>
      </c>
      <c r="BM23" s="62" t="str">
        <f aca="false">IF(Tasks[[#This Row],[Task Name]]="","",IF(OR(TakeBaseline="Yes",N(Tasks[[#This Row],[Baseline Start]])=0),Tasks[[#This Row],[Start]],Tasks[[#This Row],[Baseline Start]]))</f>
        <v/>
      </c>
      <c r="BN23" s="62"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5" t="str">
        <f aca="false">IF(Tasks[[#This Row],[Task Name]]="","",IF(OR(TakeBaseline="Yes",N(Tasks[[#This Row],[Baseline Work]])=0),Tasks[[#This Row],[Work]],Tasks[[#This Row],[Baseline Work]]))</f>
        <v/>
      </c>
      <c r="BQ23" s="7"/>
      <c r="BR23" s="7"/>
      <c r="BS23" s="22"/>
      <c r="BT23" s="87"/>
      <c r="BU23" s="42" t="str">
        <f aca="false">IF(Tasks[[#This Row],[Task Name]]="","",MAX(1,N(Tasks[[#This Row],[Level]])))</f>
        <v/>
      </c>
      <c r="BV23" s="42" t="n">
        <f aca="false">ROW()-ROW(Tasks[[#Headers],[ID]])</f>
        <v>18</v>
      </c>
      <c r="BW23" s="42" t="n">
        <f aca="false">IF(OR(Tasks[[#This Row],[Task Name]]="",Tasks[[#This Row],[_Level]]&lt;=1),0,IFERROR(LOOKUP(2,1/(Tasks[[#Headers],[_Level]]:Tasks[[#This Row],[_Level]]=Tasks[[#This Row],[_Level]]-1),ROW(Tasks[[#Headers],[_Level]]:Tasks[[#This Row],[_Level]])),0))</f>
        <v>0</v>
      </c>
      <c r="BX23" s="42" t="n">
        <f aca="false">IFERROR(N(INDEX(Tasks[_Level],Tasks[[#This Row],[_Row]]+1)),0)</f>
        <v>0</v>
      </c>
      <c r="BY23" s="88" t="b">
        <f aca="false">AND(Tasks[[#This Row],[Task Name]]&lt;&gt;"",Tasks[[#This Row],[_NextLevel]]&gt;Tasks[[#This Row],[_Level]])</f>
        <v>0</v>
      </c>
      <c r="BZ23" s="42" t="n">
        <f aca="false">IF(Tasks[[#This Row],[_IsSummary]],COUNTIF(Tasks[WBS],Tasks[[#This Row],[WBS]]&amp;".*"),0)</f>
        <v>0</v>
      </c>
      <c r="CA23" s="42" t="n">
        <f aca="false">IF(AND(Tasks[[#This Row],[Task Name]]&lt;&gt;"",NOT(Tasks[[#This Row],[_IsSummary]])),1,0)</f>
        <v>0</v>
      </c>
      <c r="CB23" s="42" t="n">
        <f aca="false">IF(N(Tasks[[#This Row],[_Pred1UID]])=0,0,IFERROR(MATCH(Tasks[[#This Row],[_Pred1UID]],Tasks[UID],0),-1))</f>
        <v>0</v>
      </c>
      <c r="CC23" s="42" t="n">
        <f aca="false">IF(N(Tasks[[#This Row],[_Pred2UID]])=0,0,IFERROR(MATCH(Tasks[[#This Row],[_Pred2UID]],Tasks[UID],0),-1))</f>
        <v>0</v>
      </c>
      <c r="CD23" s="42" t="n">
        <f aca="false">IF(N(Tasks[[#This Row],[_Pred3UID]])=0,0,IFERROR(MATCH(Tasks[[#This Row],[_Pred3UID]],Tasks[UID],0),-1))</f>
        <v>0</v>
      </c>
      <c r="CE23" s="42" t="n">
        <f aca="false">IF(N(Tasks[[#This Row],[_Pred4UID]])=0,0,IFERROR(MATCH(Tasks[[#This Row],[_Pred4UID]],Tasks[UID],0),-1))</f>
        <v>0</v>
      </c>
      <c r="CF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3" s="89" t="n">
        <f aca="false">IF(OR(Tasks[[#This Row],[_ConstraintCode]]=2,Tasks[[#This Row],[_ConstraintCode]]=3,Tasks[[#This Row],[_ConstraintCode]]=4,Tasks[[#This Row],[_ConstraintCode]]=6),Tasks[[#This Row],[_ConstraintStart]],0)</f>
        <v>0</v>
      </c>
      <c r="CI23" s="89" t="n">
        <f aca="false">IF(OR(Tasks[[#This Row],[_ConstraintCode]]=2,Tasks[[#This Row],[_ConstraintCode]]=3,Tasks[[#This Row],[_ConstraintCode]]=5,Tasks[[#This Row],[_ConstraintCode]]=7),Tasks[[#This Row],[_ConstraintStart]],2958465)</f>
        <v>2958465</v>
      </c>
      <c r="CJ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3" s="89" t="str">
        <f aca="false">IF(NOT(Tasks[[#This Row],[_IsLeaf]]=1),"",IF(N(Tasks[[#This Row],[_Days]])&lt;=0,Tasks[[#This Row],[_LeafCalcStart]],WORKDAY.INTL(Tasks[[#This Row],[_LeafCalcStart]],Tasks[[#This Row],[_Days]]-1,WorkWeek,Holidays)))</f>
        <v/>
      </c>
      <c r="CL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3" s="42" t="str">
        <f aca="false">IF(Tasks[[#This Row],[_Predecessors]]="","",TRIM(MID(SUBSTITUTE(SUBSTITUTE(SUBSTITUTE(UPPER(Tasks[[#This Row],[_Predecessors]]),";",",")," ",""),",",REPT(" ",99)),1,99)))</f>
        <v/>
      </c>
      <c r="CO23" s="42" t="str">
        <f aca="false">IF(Tasks[[#This Row],[_Pred1Text]]="","",IFERROR(VALUE(LEFT(Tasks[[#This Row],[_Pred1Text]],MIN(FIND("F",Tasks[[#This Row],[_Pred1Text]]&amp;"F"),FIND("S",Tasks[[#This Row],[_Pred1Text]]&amp;"S"),FIND("+",Tasks[[#This Row],[_Pred1Text]]&amp;"+"),FIND("-",Tasks[[#This Row],[_Pred1Text]]&amp;"-"))-1)),""))</f>
        <v/>
      </c>
      <c r="CP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3" s="42" t="str">
        <f aca="false">IF(Tasks[[#This Row],[_Pred1Text]]="","",TRIM(MID(SUBSTITUTE(SUBSTITUTE(SUBSTITUTE(UPPER(Tasks[[#This Row],[_Predecessors]]),";",",")," ",""),",",REPT(" ",99)),100,99)))</f>
        <v/>
      </c>
      <c r="CS23" s="42" t="str">
        <f aca="false">IF(Tasks[[#This Row],[_Pred2Text]]="","",IFERROR(VALUE(LEFT(Tasks[[#This Row],[_Pred2Text]],MIN(FIND("F",Tasks[[#This Row],[_Pred2Text]]&amp;"F"),FIND("S",Tasks[[#This Row],[_Pred2Text]]&amp;"S"),FIND("+",Tasks[[#This Row],[_Pred2Text]]&amp;"+"),FIND("-",Tasks[[#This Row],[_Pred2Text]]&amp;"-"))-1)),""))</f>
        <v/>
      </c>
      <c r="CT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3" s="42" t="str">
        <f aca="false">IF(Tasks[[#This Row],[_Pred2Text]]="","",TRIM(MID(SUBSTITUTE(SUBSTITUTE(SUBSTITUTE(UPPER(Tasks[[#This Row],[_Predecessors]]),";",",")," ",""),",",REPT(" ",99)),199,99)))</f>
        <v/>
      </c>
      <c r="CW23" s="42" t="str">
        <f aca="false">IF(Tasks[[#This Row],[_Pred3Text]]="","",IFERROR(VALUE(LEFT(Tasks[[#This Row],[_Pred3Text]],MIN(FIND("F",Tasks[[#This Row],[_Pred3Text]]&amp;"F"),FIND("S",Tasks[[#This Row],[_Pred3Text]]&amp;"S"),FIND("+",Tasks[[#This Row],[_Pred3Text]]&amp;"+"),FIND("-",Tasks[[#This Row],[_Pred3Text]]&amp;"-"))-1)),""))</f>
        <v/>
      </c>
      <c r="CX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3" s="42" t="str">
        <f aca="false">IF(Tasks[[#This Row],[_Pred3Text]]="","",TRIM(MID(SUBSTITUTE(SUBSTITUTE(SUBSTITUTE(UPPER(Tasks[[#This Row],[_Predecessors]]),";",",")," ",""),",",REPT(" ",99)),298,99)))</f>
        <v/>
      </c>
      <c r="DA23" s="42" t="str">
        <f aca="false">IF(Tasks[[#This Row],[_Pred4Text]]="","",IFERROR(VALUE(LEFT(Tasks[[#This Row],[_Pred4Text]],MIN(FIND("F",Tasks[[#This Row],[_Pred4Text]]&amp;"F"),FIND("S",Tasks[[#This Row],[_Pred4Text]]&amp;"S"),FIND("+",Tasks[[#This Row],[_Pred4Text]]&amp;"+"),FIND("-",Tasks[[#This Row],[_Pred4Text]]&amp;"-"))-1)),""))</f>
        <v/>
      </c>
      <c r="DB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3" s="42" t="str">
        <f aca="false">IF(OR(Tasks[[#This Row],[Task Name]]="",Tasks[[#This Row],[_Resources]]=""),"",TRIM(MID(SUBSTITUTE(Tasks[[#This Row],[_Resources]],",",REPT(" ",99)),1,99)))</f>
        <v/>
      </c>
      <c r="DE23" s="42" t="str">
        <f aca="false">IF(Tasks[[#This Row],[_Res1Text]]="","",TRIM(MID(SUBSTITUTE(Tasks[[#This Row],[_Resources]],",",REPT(" ",99)),100,99)))</f>
        <v/>
      </c>
      <c r="DF23" s="42" t="str">
        <f aca="false">IF(Tasks[[#This Row],[_Res2Text]]="","",TRIM(MID(SUBSTITUTE(Tasks[[#This Row],[_Resources]],",",REPT(" ",99)),199,99)))</f>
        <v/>
      </c>
      <c r="DG23" s="42" t="str">
        <f aca="false">IF(Tasks[[#This Row],[_Res3Text]]="","",TRIM(MID(SUBSTITUTE(Tasks[[#This Row],[_Resources]],",",REPT(" ",99)),298,99)))</f>
        <v/>
      </c>
      <c r="DH23" s="42" t="n">
        <f aca="false">IF(Tasks[[#This Row],[_Res1Text]]="",0,IFERROR(MATCH(TRIM(LEFT(Tasks[[#This Row],[_Res1Text]],FIND("[",Tasks[[#This Row],[_Res1Text]]&amp;"[")-1)),res_Name,0),IFERROR(MATCH(TRIM(LEFT(Tasks[[#This Row],[_Res1Text]],FIND("[",Tasks[[#This Row],[_Res1Text]]&amp;"[")-1)),res_Initials,0),0)))</f>
        <v>0</v>
      </c>
      <c r="DI23" s="42" t="n">
        <f aca="false">IF(Tasks[[#This Row],[_Res2Text]]="",0,IFERROR(MATCH(TRIM(LEFT(Tasks[[#This Row],[_Res2Text]],FIND("[",Tasks[[#This Row],[_Res2Text]]&amp;"[")-1)),res_Name,0),IFERROR(MATCH(TRIM(LEFT(Tasks[[#This Row],[_Res2Text]],FIND("[",Tasks[[#This Row],[_Res2Text]]&amp;"[")-1)),res_Initials,0),0)))</f>
        <v>0</v>
      </c>
      <c r="DJ23" s="42" t="n">
        <f aca="false">IF(Tasks[[#This Row],[_Res3Text]]="",0,IFERROR(MATCH(TRIM(LEFT(Tasks[[#This Row],[_Res3Text]],FIND("[",Tasks[[#This Row],[_Res3Text]]&amp;"[")-1)),res_Name,0),IFERROR(MATCH(TRIM(LEFT(Tasks[[#This Row],[_Res3Text]],FIND("[",Tasks[[#This Row],[_Res3Text]]&amp;"[")-1)),res_Initials,0),0)))</f>
        <v>0</v>
      </c>
      <c r="DK23" s="42" t="n">
        <f aca="false">IF(Tasks[[#This Row],[_Res4Text]]="",0,IFERROR(MATCH(TRIM(LEFT(Tasks[[#This Row],[_Res4Text]],FIND("[",Tasks[[#This Row],[_Res4Text]]&amp;"[")-1)),res_Name,0),IFERROR(MATCH(TRIM(LEFT(Tasks[[#This Row],[_Res4Text]],FIND("[",Tasks[[#This Row],[_Res4Text]]&amp;"[")-1)),res_Initials,0),0)))</f>
        <v>0</v>
      </c>
      <c r="DL23" s="42" t="str">
        <f aca="false">IF(Tasks[[#This Row],[_Res1Text]]="","",IF(Tasks[[#This Row],[_Res1Row]]&gt;0,INDEX(res_Name,Tasks[[#This Row],[_Res1Row]]),TRIM(LEFT(Tasks[[#This Row],[_Res1Text]],FIND("[",Tasks[[#This Row],[_Res1Text]]&amp;"[")-1))))</f>
        <v/>
      </c>
      <c r="DM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3" s="42" t="n">
        <f aca="false">IF(NOT(Tasks[[#This Row],[_IsLeaf]]=1),0,(Tasks[[#This Row],[_Resource1]]&lt;&gt;"")+(Tasks[[#This Row],[_Res2]]&lt;&gt;"")+(Tasks[[#This Row],[_Res3]]&lt;&gt;"")+(Tasks[[#This Row],[_Res4]]&lt;&gt;""))</f>
        <v>0</v>
      </c>
      <c r="DO23" s="42" t="str">
        <f aca="false">IF(Tasks[[#This Row],[_Res2Text]]="","",IF(Tasks[[#This Row],[_Res2Row]]&gt;0,INDEX(res_Name,Tasks[[#This Row],[_Res2Row]]),TRIM(LEFT(Tasks[[#This Row],[_Res2Text]],FIND("[",Tasks[[#This Row],[_Res2Text]]&amp;"[")-1))))</f>
        <v/>
      </c>
      <c r="DP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3" s="42" t="n">
        <f aca="false">IF(OR(NOT(Tasks[[#This Row],[_IsLeaf]]=1),Tasks[[#This Row],[_Res2Row]]=0),0,N(Tasks[[#This Row],[_Days]])*HoursPerDay*IF(Tasks[[#This Row],[_Res2Units]]="",DefaultUnits,Tasks[[#This Row],[_Res2Units]]))</f>
        <v>0</v>
      </c>
      <c r="DR23" s="42" t="n">
        <f aca="false">IF(AND(AND(Tasks[[#This Row],[_IsLeaf]]=1,Tasks[[#This Row],[_LeafTotalWork]]&gt;0),Tasks[[#This Row],[_Res2Work]]&gt;0),Tasks[[#This Row],[_Res2Work]]/(Tasks[[#This Row],[_FinishWorkday]]-Tasks[[#This Row],[_StartWorkday]]+1),0)</f>
        <v>0</v>
      </c>
      <c r="DS23" s="42" t="n">
        <f aca="false">Tasks[[#This Row],[_Res2WorkPerWD]]*MAX(0,Tasks[[#This Row],[_StartWorkday]]-1)</f>
        <v>0</v>
      </c>
      <c r="DT23" s="42" t="n">
        <f aca="false">Tasks[[#This Row],[_Res2Work]]*Tasks[[#This Row],[_LeafProgress]]</f>
        <v>0</v>
      </c>
      <c r="DU23" s="42" t="str">
        <f aca="false">IF(Tasks[[#This Row],[_Res3Text]]="","",IF(Tasks[[#This Row],[_Res3Row]]&gt;0,INDEX(res_Name,Tasks[[#This Row],[_Res3Row]]),TRIM(LEFT(Tasks[[#This Row],[_Res3Text]],FIND("[",Tasks[[#This Row],[_Res3Text]]&amp;"[")-1))))</f>
        <v/>
      </c>
      <c r="DV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3" s="42" t="n">
        <f aca="false">IF(OR(NOT(Tasks[[#This Row],[_IsLeaf]]=1),Tasks[[#This Row],[_Res3Row]]=0),0,N(Tasks[[#This Row],[_Days]])*HoursPerDay*IF(Tasks[[#This Row],[_Res3Units]]="",DefaultUnits,Tasks[[#This Row],[_Res3Units]]))</f>
        <v>0</v>
      </c>
      <c r="DX23" s="42" t="n">
        <f aca="false">IF(AND(AND(Tasks[[#This Row],[_IsLeaf]]=1,Tasks[[#This Row],[_LeafTotalWork]]&gt;0),Tasks[[#This Row],[_Res3Work]]&gt;0),Tasks[[#This Row],[_Res3Work]]/(Tasks[[#This Row],[_FinishWorkday]]-Tasks[[#This Row],[_StartWorkday]]+1),0)</f>
        <v>0</v>
      </c>
      <c r="DY23" s="42" t="n">
        <f aca="false">Tasks[[#This Row],[_Res3WorkPerWD]]*MAX(0,Tasks[[#This Row],[_StartWorkday]]-1)</f>
        <v>0</v>
      </c>
      <c r="DZ23" s="42" t="n">
        <f aca="false">Tasks[[#This Row],[_Res3Work]]*Tasks[[#This Row],[_LeafProgress]]</f>
        <v>0</v>
      </c>
      <c r="EA23" s="42" t="str">
        <f aca="false">IF(Tasks[[#This Row],[_Res4Text]]="","",IF(Tasks[[#This Row],[_Res4Row]]&gt;0,INDEX(res_Name,Tasks[[#This Row],[_Res4Row]]),TRIM(LEFT(Tasks[[#This Row],[_Res4Text]],FIND("[",Tasks[[#This Row],[_Res4Text]]&amp;"[")-1))))</f>
        <v/>
      </c>
      <c r="EB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3" s="42" t="n">
        <f aca="false">IF(OR(NOT(Tasks[[#This Row],[_IsLeaf]]=1),Tasks[[#This Row],[_Res4Row]]=0),0,N(Tasks[[#This Row],[_Days]])*HoursPerDay*IF(Tasks[[#This Row],[_Res4Units]]="",DefaultUnits,Tasks[[#This Row],[_Res4Units]]))</f>
        <v>0</v>
      </c>
      <c r="ED23" s="42" t="n">
        <f aca="false">IF(AND(AND(Tasks[[#This Row],[_IsLeaf]]=1,Tasks[[#This Row],[_LeafTotalWork]]&gt;0),Tasks[[#This Row],[_Res4Work]]&gt;0),Tasks[[#This Row],[_Res4Work]]/(Tasks[[#This Row],[_FinishWorkday]]-Tasks[[#This Row],[_StartWorkday]]+1),0)</f>
        <v>0</v>
      </c>
      <c r="EE23" s="42" t="n">
        <f aca="false">Tasks[[#This Row],[_Res4WorkPerWD]]*MAX(0,Tasks[[#This Row],[_StartWorkday]]-1)</f>
        <v>0</v>
      </c>
      <c r="EF23" s="42" t="n">
        <f aca="false">Tasks[[#This Row],[_Res4Work]]*Tasks[[#This Row],[_LeafProgress]]</f>
        <v>0</v>
      </c>
      <c r="EG23" s="42" t="n">
        <f aca="false">IF(ISNUMBER(Tasks[[#This Row],[% Complete]]),Tasks[[#This Row],[% Complete]],IF(Tasks[[#This Row],[Stage]]="",0,IFERROR(INDEX(stg_Pct,MATCH(Tasks[[#This Row],[Stage]],stg_Name,0)),0)))</f>
        <v>0</v>
      </c>
      <c r="EH23" s="42" t="n">
        <f aca="false">IF(NOT(Tasks[[#This Row],[_IsLeaf]]=1),0,IF(N(Tasks[[#This Row],[Actual Finish]])&gt;0,1,MIN(1,Tasks[[#This Row],[_Pct]])))</f>
        <v>0</v>
      </c>
      <c r="EI23" s="42" t="n">
        <f aca="false">IF(OR(NOT(Tasks[[#This Row],[_IsLeaf]]=1),Tasks[[#This Row],[_Res1Row]]=0),0,N(Tasks[[#This Row],[_Days]])*HoursPerDay*IF(Tasks[[#This Row],[_Units1]]="",DefaultUnits,Tasks[[#This Row],[_Units1]]))</f>
        <v>0</v>
      </c>
      <c r="EJ23" s="42" t="n">
        <f aca="false">Tasks[[#This Row],[_LeafWork]]+Tasks[[#This Row],[_Res2Work]]+Tasks[[#This Row],[_Res3Work]]+Tasks[[#This Row],[_Res4Work]]</f>
        <v>0</v>
      </c>
      <c r="EK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3" s="42" t="n">
        <f aca="false">IF(NOT(Tasks[[#This Row],[_IsLeaf]]=1),0,MAX(_xlfn.MAXIFS(Tasks[_Row],Tasks[_Pred1UID],Tasks[[#This Row],[UID]]),_xlfn.MAXIFS(Tasks[_Row],Tasks[_Pred2UID],Tasks[[#This Row],[UID]]),_xlfn.MAXIFS(Tasks[_Row],Tasks[_Pred3UID],Tasks[[#This Row],[UID]]),_xlfn.MAXIFS(Tasks[_Row],Tasks[_Pred4UID],Tasks[[#This Row],[UID]])))</f>
        <v>0</v>
      </c>
      <c r="ET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3" s="89" t="str">
        <f aca="false">IF(NOT(Tasks[[#This Row],[_IsLeaf]]=1),"",IF(N(Tasks[[#This Row],[_Days]])&lt;=0,Tasks[[#This Row],[_LeafLateFinish]],WORKDAY.INTL(Tasks[[#This Row],[_LeafLateFinish]],-(Tasks[[#This Row],[_Days]]-1),WorkWeek,Holidays)))</f>
        <v/>
      </c>
      <c r="EW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3" s="88" t="b">
        <f aca="false">AND(Tasks[[#This Row],[_IsLeaf]]=1,Tasks[[#This Row],[_LeafProgress]]&lt;1,N(Tasks[[#This Row],[_LeafTotalSlack]])&lt;=CriticalSlackDays)</f>
        <v>0</v>
      </c>
      <c r="EY23" s="42" t="n">
        <f aca="false">IF(AND(Tasks[[#This Row],[_IsLeaf]]=1,Tasks[[#This Row],[_ConstraintCode]]=1,Tasks[[#This Row],[Mode]]&lt;&gt;"Manual",N(Tasks[[#This Row],[Actual Start]])=0),MAX(0,N(Tasks[[#This Row],[Free Slack]])),0)</f>
        <v>0</v>
      </c>
      <c r="EZ23" s="89" t="str">
        <f aca="false">IF(NOT(Tasks[[#This Row],[_IsLeaf]]=1),"",IF(Tasks[[#This Row],[_AlapShift]]=0,Tasks[[#This Row],[_LeafCalcStart]],WORKDAY.INTL(Tasks[[#This Row],[_LeafCalcStart]],Tasks[[#This Row],[_AlapShift]],WorkWeek,Holidays)))</f>
        <v/>
      </c>
      <c r="FA23" s="89" t="str">
        <f aca="false">IF(NOT(Tasks[[#This Row],[_IsLeaf]]=1),"",IF(Tasks[[#This Row],[_AlapShift]]=0,Tasks[[#This Row],[_LeafCalcFinish]],WORKDAY.INTL(Tasks[[#This Row],[_LeafCalcFinish]],Tasks[[#This Row],[_AlapShift]],WorkWeek,Holidays)))</f>
        <v/>
      </c>
      <c r="FB23" s="89" t="str">
        <f aca="false">IF(NOT(Tasks[[#This Row],[_IsLeaf]]=1),"",IF(Tasks[[#This Row],[_AlapShift]]=0,Tasks[[#This Row],[_LeafFcstStart]],WORKDAY.INTL(Tasks[[#This Row],[_LeafFcstStart]],Tasks[[#This Row],[_AlapShift]],WorkWeek,Holidays)))</f>
        <v/>
      </c>
      <c r="FC23" s="89" t="str">
        <f aca="false">IF(NOT(Tasks[[#This Row],[_IsLeaf]]=1),"",IF(Tasks[[#This Row],[_AlapShift]]=0,Tasks[[#This Row],[_LeafFcstFinish]],WORKDAY.INTL(Tasks[[#This Row],[_LeafFcstFinish]],Tasks[[#This Row],[_AlapShift]],WorkWeek,Holidays)))</f>
        <v/>
      </c>
      <c r="FD23" s="89" t="str">
        <f aca="false">IF(Tasks[[#This Row],[Task Name]]="","",IF(Tasks[[#This Row],[_IsSummary]],MIN(INDEX(Tasks[_ShownCalcStart],Tasks[[#This Row],[_Row]]+1):INDEX(Tasks[_ShownCalcStart],Tasks[[#This Row],[_Row]]+Tasks[[#This Row],[_Descendants]])),Tasks[[#This Row],[_ShownCalcStart]]))</f>
        <v/>
      </c>
      <c r="FE23" s="89" t="str">
        <f aca="false">IF(Tasks[[#This Row],[Task Name]]="","",IF(Tasks[[#This Row],[_IsSummary]],MAX(INDEX(Tasks[_ShownCalcFinish],Tasks[[#This Row],[_Row]]+1):INDEX(Tasks[_ShownCalcFinish],Tasks[[#This Row],[_Row]]+Tasks[[#This Row],[_Descendants]])),Tasks[[#This Row],[_ShownCalcFinish]]))</f>
        <v/>
      </c>
      <c r="FF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3" s="42" t="n">
        <f aca="false">IF(AND(Tasks[[#This Row],[_IsLeaf]]=1,Tasks[[#This Row],[_LeafTotalWork]]&gt;0),NETWORKDAYS.INTL(ProjectStart,Tasks[[#This Row],[_ShownFcstStart]],WorkWeek,Holidays),0)</f>
        <v>0</v>
      </c>
      <c r="FS23" s="42" t="n">
        <f aca="false">IF(AND(Tasks[[#This Row],[_IsLeaf]]=1,Tasks[[#This Row],[_LeafTotalWork]]&gt;0),MAX(Tasks[[#This Row],[_StartWorkday]],NETWORKDAYS.INTL(ProjectStart,Tasks[[#This Row],[_ShownFcstFinish]],WorkWeek,Holidays)),0)</f>
        <v>0</v>
      </c>
      <c r="FT23" s="42" t="n">
        <f aca="false">IF(AND(Tasks[[#This Row],[_IsLeaf]]=1,Tasks[[#This Row],[_LeafTotalWork]]&gt;0),Tasks[[#This Row],[_LeafWork]]/(Tasks[[#This Row],[_FinishWorkday]]-Tasks[[#This Row],[_StartWorkday]]+1),0)</f>
        <v>0</v>
      </c>
      <c r="FU23" s="42" t="n">
        <f aca="false">Tasks[[#This Row],[_WorkPerWorkday]]*(Tasks[[#This Row],[_StartWorkday]]-1)</f>
        <v>-0</v>
      </c>
      <c r="FV23" s="42" t="n">
        <f aca="false">IF(Tasks[[#This Row],[_IsLeaf]]=1,MAX(N(Tasks[[#This Row],[_Days]]),0.1),0)</f>
        <v>0</v>
      </c>
      <c r="FW23" s="42" t="n">
        <f aca="false">Tasks[[#This Row],[_WeightDur]]*Tasks[[#This Row],[_LeafProgress]]</f>
        <v>0</v>
      </c>
      <c r="FX23" s="42" t="n">
        <f aca="false">Tasks[[#This Row],[_WeightDur]]*Tasks[[#This Row],[_PlannedPct]]</f>
        <v>0</v>
      </c>
      <c r="FY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3" s="42" t="str">
        <f aca="false">IF(AND(Tasks[[#This Row],[_IsLeaf]]=1,N(Tasks[[#This Row],[_Days]])=0,Tasks[[#This Row],[_LeafProgress]]&lt;1),Tasks[[#This Row],[_ShownFcstFinish]]+Tasks[[#This Row],[_Row]]/100000,"")</f>
        <v/>
      </c>
      <c r="GA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3" s="42" t="str">
        <f aca="false">IF(Tasks[[#This Row],[Task Name]]="","",LEFT(Tasks[[#This Row],[WBS]],FIND(".",Tasks[[#This Row],[WBS]]&amp;".")-1))</f>
        <v/>
      </c>
      <c r="GC23" s="42" t="str">
        <f aca="false">IF(AND(Tasks[[#This Row],[Task Name]]&lt;&gt;"",Tasks[[#This Row],[_Level]]=1),Tasks[[#This Row],[_Row]],"")</f>
        <v/>
      </c>
      <c r="GD23" s="42" t="str">
        <f aca="false">IF(AND(Tasks[[#This Row],[_IsLeaf]]=1,N(Tasks[[#This Row],[_Days]])=0),Tasks[[#This Row],[Planned Finish]]+Tasks[[#This Row],[_Row]]/100000,"")</f>
        <v/>
      </c>
      <c r="GE23" s="42" t="str">
        <f aca="false">IF(AND(Tasks[[#This Row],[_IsLeaf]]=1,Tasks[[#This Row],[_LeafProgress]]&lt;1,OR(N(Tasks[[#This Row],[Finish Var]])&gt;0,Tasks[[#This Row],[Status]]="Late Start")),MAX(0,Tasks[[#This Row],[Finish Var]])+1-Tasks[[#This Row],[_Row]]/1000000,"")</f>
        <v/>
      </c>
      <c r="GF23" s="42" t="str">
        <f aca="false">IF(AND(Tasks[[#This Row],[_IsLeaf]]=1,N(Tasks[[#This Row],[Actual Start]])=0,Tasks[[#This Row],[_ShownFcstStart]]&gt;=StatusDate,Tasks[[#This Row],[_ShownFcstStart]]&lt;=LookaheadEnd),Tasks[[#This Row],[_ShownFcstStart]]+Tasks[[#This Row],[_Row]]/100000,"")</f>
        <v/>
      </c>
      <c r="GG23" s="42" t="str">
        <f aca="false">IF(AND(Tasks[[#This Row],[_IsLeaf]]=1,Tasks[[#This Row],[_LeafProgress]]&lt;1,Tasks[[#This Row],[_ShownFcstFinish]]&gt;=StatusDate,Tasks[[#This Row],[_ShownFcstFinish]]&lt;=LookaheadEnd),Tasks[[#This Row],[_ShownFcstFinish]]+Tasks[[#This Row],[_Row]]/100000,"")</f>
        <v/>
      </c>
      <c r="GH23" s="42" t="str">
        <f aca="false">IF(Tasks[[#This Row],[_LeafCritical]],Tasks[[#This Row],[_ShownFcstStart]]+Tasks[[#This Row],[_Row]]/100000,"")</f>
        <v/>
      </c>
      <c r="GI23" s="42" t="n">
        <f aca="false">Tasks[[#This Row],[_LeafWork]]*Tasks[[#This Row],[_LeafProgress]]</f>
        <v>0</v>
      </c>
      <c r="GJ23" s="89" t="str">
        <f aca="false">IF(AND(Tasks[[#This Row],[_IsLeaf]]=1,Tasks[[#This Row],[_LeafProgress]]&gt;=1),IF(N(Tasks[[#This Row],[Actual Finish]])&gt;0,Tasks[[#This Row],[Actual Finish]],Tasks[[#This Row],[_ShownFcstFinish]]),"")</f>
        <v/>
      </c>
      <c r="GK23" s="42" t="n">
        <f aca="false">IF(Tasks[[#This Row],[_IsLeaf]]=1,N(Tasks[[#This Row],[Story Points]]),0)</f>
        <v>0</v>
      </c>
      <c r="GL23" s="42" t="str">
        <f aca="false">""</f>
        <v/>
      </c>
      <c r="GM23" s="88" t="b">
        <f aca="false">IF(Tasks[[#This Row],[Task Name]]="",FALSE(),AND(Tasks[[#This Row],[_IsLeaf]]=1,N(Tasks[[#This Row],[_Days]])=0))</f>
        <v>0</v>
      </c>
      <c r="GN23" s="89" t="n">
        <f aca="false">IF(Tasks[[#This Row],[Task Name]]="",0,IF(AND(Tasks[[#This Row],[_IsLeaf]]=1,NOT(Tasks[[#This Row],[_IsMilestone]]),N(Tasks[[#This Row],[Progress]])&gt;0),Tasks[[#This Row],[Start]],0))</f>
        <v>0</v>
      </c>
      <c r="GO23" s="89" t="n">
        <f aca="false">IF(Tasks[[#This Row],[_DoneFrom]]=0,0,IF(Tasks[[#This Row],[Progress]]&gt;=1,Tasks[[#This Row],[Finish]],MAX(Tasks[[#This Row],[_DoneFrom]],Tasks[[#This Row],[Start]]+ROUND((Tasks[[#This Row],[Finish]]-Tasks[[#This Row],[Start]]+1)*Tasks[[#This Row],[Progress]],0)-1)))</f>
        <v>0</v>
      </c>
      <c r="GP23" s="89" t="n">
        <f aca="false">IF(Tasks[[#This Row],[Task Name]]="",0,IF(OR(NOT(Tasks[[#This Row],[_IsLeaf]]=1),Tasks[[#This Row],[_IsMilestone]],N(Tasks[[#This Row],[Progress]])&gt;=1),0,IF(Tasks[[#This Row],[_DoneTo]]&gt;0,Tasks[[#This Row],[_DoneTo]]+1,Tasks[[#This Row],[Start]])))</f>
        <v>0</v>
      </c>
      <c r="GQ23" s="89" t="n">
        <f aca="false">IF(Tasks[[#This Row],[_RemFrom]]=0,0,Tasks[[#This Row],[Finish]])</f>
        <v>0</v>
      </c>
      <c r="GR23" s="88" t="b">
        <f aca="false">IF(Tasks[[#This Row],[Task Name]]="",FALSE(),OR(NOT(BaselineSet),N(Tasks[[#This Row],[Baseline Start]])&gt;0))</f>
        <v>0</v>
      </c>
      <c r="GS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3" s="90" t="str">
        <f aca="false">IF(Tasks[[#This Row],[_IsLeaf]]=1,Tasks[[#This Row],[_Row]],"")</f>
        <v/>
      </c>
      <c r="GW23" s="90" t="str">
        <f aca="false">IFERROR(INDEX(Tasks[UID],SMALL(Tasks[_PickKey],Tasks[[#This Row],[_Row]]))&amp;" "&amp;INDEX(Tasks[Task Name],SMALL(Tasks[_PickKey],Tasks[[#This Row],[_Row]])),"")</f>
        <v/>
      </c>
      <c r="GX23" s="42" t="str">
        <f aca="false">IF(Tasks[[#This Row],[Task Name]]="","",IF(Tasks[[#This Row],[_IsSummary]],NETWORKDAYS.INTL(Tasks[[#This Row],[Start]],Tasks[[#This Row],[Finish]],WorkWeek,Holidays),N(Tasks[[#This Row],[_Days]])))</f>
        <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3"/>
      <c r="U24" s="23"/>
      <c r="V24" s="83"/>
      <c r="W24" s="23"/>
      <c r="X24" s="83"/>
      <c r="Y24" s="23"/>
      <c r="Z24" s="83"/>
      <c r="AA24" s="23"/>
      <c r="AB24" s="23"/>
      <c r="AC24" s="7"/>
      <c r="AD24" s="7"/>
      <c r="AE24" s="62" t="str">
        <f aca="false">IF(Tasks[[#This Row],[Task Name]]="","",IF(Tasks[[#This Row],[_IsSummary]],MIN(INDEX(Tasks[_ShownFcstStart],Tasks[[#This Row],[_Row]]+1):INDEX(Tasks[_ShownFcstStart],Tasks[[#This Row],[_Row]]+Tasks[[#This Row],[_Descendants]])),Tasks[[#This Row],[_ShownFcstStart]]))</f>
        <v/>
      </c>
      <c r="AF24" s="62"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4" s="7"/>
      <c r="AK24" s="22"/>
      <c r="AL24" s="23"/>
      <c r="AM24" s="7"/>
      <c r="AN24" s="46"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2" t="str">
        <f aca="false">IF(Tasks[[#This Row],[Task Name]]="","",IF(N(Tasks[[#This Row],[Baseline Start]])&gt;0,Tasks[[#This Row],[Baseline Start]],Tasks[[#This Row],[_CalcStart]]))</f>
        <v/>
      </c>
      <c r="AR24" s="62" t="str">
        <f aca="false">IF(Tasks[[#This Row],[Task Name]]="","",IF(N(Tasks[[#This Row],[Baseline Finish]])&gt;0,Tasks[[#This Row],[Baseline Finish]],Tasks[[#This Row],[_CalcFinish]]))</f>
        <v/>
      </c>
      <c r="AS24" s="46" t="str">
        <f aca="false">IF(Tasks[[#This Row],[Task Name]]="","",IF(Tasks[[#This Row],[Start]]&gt;=Tasks[[#This Row],[Planned Start]],NETWORKDAYS.INTL(Tasks[[#This Row],[Planned Start]],Tasks[[#This Row],[Start]],WorkWeek,Holidays)-1,1-NETWORKDAYS.INTL(Tasks[[#This Row],[Start]],Tasks[[#This Row],[Planned Start]],WorkWeek,Holidays)))</f>
        <v/>
      </c>
      <c r="AT24" s="62" t="str">
        <f aca="false">IF(Tasks[[#This Row],[Task Name]]="","",IF(Tasks[[#This Row],[_IsSummary]],MIN(INDEX(Tasks[_LeafLateStart],Tasks[[#This Row],[_Row]]+1):INDEX(Tasks[_LeafLateStart],Tasks[[#This Row],[_Row]]+Tasks[[#This Row],[_Descendants]])),Tasks[[#This Row],[_LeafLateStart]]))</f>
        <v/>
      </c>
      <c r="AU24" s="62" t="str">
        <f aca="false">IF(Tasks[[#This Row],[Task Name]]="","",IF(Tasks[[#This Row],[_IsSummary]],MAX(INDEX(Tasks[_LeafLateFinish],Tasks[[#This Row],[_Row]]+1):INDEX(Tasks[_LeafLateFinish],Tasks[[#This Row],[_Row]]+Tasks[[#This Row],[_Descendants]])),Tasks[[#This Row],[_LeafLateFinish]]))</f>
        <v/>
      </c>
      <c r="AV24" s="46"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4"/>
      <c r="BA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5"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6"/>
      <c r="BJ24" s="22"/>
      <c r="BK24" s="46" t="str">
        <f aca="false">IF(OR(Tasks[[#This Row],[Task Name]]="",Tasks[[#This Row],[Baseline Duration]]=""),"",Tasks[[#This Row],[_SpanDays]]-N(Tasks[[#This Row],[Baseline Duration]]))</f>
        <v/>
      </c>
      <c r="BL24" s="85" t="str">
        <f aca="false">IF(OR(Tasks[[#This Row],[Task Name]]="",Tasks[[#This Row],[Baseline Work]]=""),"",Tasks[[#This Row],[Work]]-N(Tasks[[#This Row],[Baseline Work]]))</f>
        <v/>
      </c>
      <c r="BM24" s="62" t="str">
        <f aca="false">IF(Tasks[[#This Row],[Task Name]]="","",IF(OR(TakeBaseline="Yes",N(Tasks[[#This Row],[Baseline Start]])=0),Tasks[[#This Row],[Start]],Tasks[[#This Row],[Baseline Start]]))</f>
        <v/>
      </c>
      <c r="BN24" s="62"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5" t="str">
        <f aca="false">IF(Tasks[[#This Row],[Task Name]]="","",IF(OR(TakeBaseline="Yes",N(Tasks[[#This Row],[Baseline Work]])=0),Tasks[[#This Row],[Work]],Tasks[[#This Row],[Baseline Work]]))</f>
        <v/>
      </c>
      <c r="BQ24" s="7"/>
      <c r="BR24" s="7"/>
      <c r="BS24" s="22"/>
      <c r="BT24" s="87"/>
      <c r="BU24" s="42" t="str">
        <f aca="false">IF(Tasks[[#This Row],[Task Name]]="","",MAX(1,N(Tasks[[#This Row],[Level]])))</f>
        <v/>
      </c>
      <c r="BV24" s="42" t="n">
        <f aca="false">ROW()-ROW(Tasks[[#Headers],[ID]])</f>
        <v>19</v>
      </c>
      <c r="BW24" s="42" t="n">
        <f aca="false">IF(OR(Tasks[[#This Row],[Task Name]]="",Tasks[[#This Row],[_Level]]&lt;=1),0,IFERROR(LOOKUP(2,1/(Tasks[[#Headers],[_Level]]:Tasks[[#This Row],[_Level]]=Tasks[[#This Row],[_Level]]-1),ROW(Tasks[[#Headers],[_Level]]:Tasks[[#This Row],[_Level]])),0))</f>
        <v>0</v>
      </c>
      <c r="BX24" s="42" t="n">
        <f aca="false">IFERROR(N(INDEX(Tasks[_Level],Tasks[[#This Row],[_Row]]+1)),0)</f>
        <v>0</v>
      </c>
      <c r="BY24" s="88" t="b">
        <f aca="false">AND(Tasks[[#This Row],[Task Name]]&lt;&gt;"",Tasks[[#This Row],[_NextLevel]]&gt;Tasks[[#This Row],[_Level]])</f>
        <v>0</v>
      </c>
      <c r="BZ24" s="42" t="n">
        <f aca="false">IF(Tasks[[#This Row],[_IsSummary]],COUNTIF(Tasks[WBS],Tasks[[#This Row],[WBS]]&amp;".*"),0)</f>
        <v>0</v>
      </c>
      <c r="CA24" s="42" t="n">
        <f aca="false">IF(AND(Tasks[[#This Row],[Task Name]]&lt;&gt;"",NOT(Tasks[[#This Row],[_IsSummary]])),1,0)</f>
        <v>0</v>
      </c>
      <c r="CB24" s="42" t="n">
        <f aca="false">IF(N(Tasks[[#This Row],[_Pred1UID]])=0,0,IFERROR(MATCH(Tasks[[#This Row],[_Pred1UID]],Tasks[UID],0),-1))</f>
        <v>0</v>
      </c>
      <c r="CC24" s="42" t="n">
        <f aca="false">IF(N(Tasks[[#This Row],[_Pred2UID]])=0,0,IFERROR(MATCH(Tasks[[#This Row],[_Pred2UID]],Tasks[UID],0),-1))</f>
        <v>0</v>
      </c>
      <c r="CD24" s="42" t="n">
        <f aca="false">IF(N(Tasks[[#This Row],[_Pred3UID]])=0,0,IFERROR(MATCH(Tasks[[#This Row],[_Pred3UID]],Tasks[UID],0),-1))</f>
        <v>0</v>
      </c>
      <c r="CE24" s="42" t="n">
        <f aca="false">IF(N(Tasks[[#This Row],[_Pred4UID]])=0,0,IFERROR(MATCH(Tasks[[#This Row],[_Pred4UID]],Tasks[UID],0),-1))</f>
        <v>0</v>
      </c>
      <c r="CF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4" s="89" t="n">
        <f aca="false">IF(OR(Tasks[[#This Row],[_ConstraintCode]]=2,Tasks[[#This Row],[_ConstraintCode]]=3,Tasks[[#This Row],[_ConstraintCode]]=4,Tasks[[#This Row],[_ConstraintCode]]=6),Tasks[[#This Row],[_ConstraintStart]],0)</f>
        <v>0</v>
      </c>
      <c r="CI24" s="89" t="n">
        <f aca="false">IF(OR(Tasks[[#This Row],[_ConstraintCode]]=2,Tasks[[#This Row],[_ConstraintCode]]=3,Tasks[[#This Row],[_ConstraintCode]]=5,Tasks[[#This Row],[_ConstraintCode]]=7),Tasks[[#This Row],[_ConstraintStart]],2958465)</f>
        <v>2958465</v>
      </c>
      <c r="CJ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4" s="89" t="str">
        <f aca="false">IF(NOT(Tasks[[#This Row],[_IsLeaf]]=1),"",IF(N(Tasks[[#This Row],[_Days]])&lt;=0,Tasks[[#This Row],[_LeafCalcStart]],WORKDAY.INTL(Tasks[[#This Row],[_LeafCalcStart]],Tasks[[#This Row],[_Days]]-1,WorkWeek,Holidays)))</f>
        <v/>
      </c>
      <c r="CL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4" s="42" t="str">
        <f aca="false">IF(Tasks[[#This Row],[_Predecessors]]="","",TRIM(MID(SUBSTITUTE(SUBSTITUTE(SUBSTITUTE(UPPER(Tasks[[#This Row],[_Predecessors]]),";",",")," ",""),",",REPT(" ",99)),1,99)))</f>
        <v/>
      </c>
      <c r="CO24" s="42" t="str">
        <f aca="false">IF(Tasks[[#This Row],[_Pred1Text]]="","",IFERROR(VALUE(LEFT(Tasks[[#This Row],[_Pred1Text]],MIN(FIND("F",Tasks[[#This Row],[_Pred1Text]]&amp;"F"),FIND("S",Tasks[[#This Row],[_Pred1Text]]&amp;"S"),FIND("+",Tasks[[#This Row],[_Pred1Text]]&amp;"+"),FIND("-",Tasks[[#This Row],[_Pred1Text]]&amp;"-"))-1)),""))</f>
        <v/>
      </c>
      <c r="CP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4" s="42" t="str">
        <f aca="false">IF(Tasks[[#This Row],[_Pred1Text]]="","",TRIM(MID(SUBSTITUTE(SUBSTITUTE(SUBSTITUTE(UPPER(Tasks[[#This Row],[_Predecessors]]),";",",")," ",""),",",REPT(" ",99)),100,99)))</f>
        <v/>
      </c>
      <c r="CS24" s="42" t="str">
        <f aca="false">IF(Tasks[[#This Row],[_Pred2Text]]="","",IFERROR(VALUE(LEFT(Tasks[[#This Row],[_Pred2Text]],MIN(FIND("F",Tasks[[#This Row],[_Pred2Text]]&amp;"F"),FIND("S",Tasks[[#This Row],[_Pred2Text]]&amp;"S"),FIND("+",Tasks[[#This Row],[_Pred2Text]]&amp;"+"),FIND("-",Tasks[[#This Row],[_Pred2Text]]&amp;"-"))-1)),""))</f>
        <v/>
      </c>
      <c r="CT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4" s="42" t="str">
        <f aca="false">IF(Tasks[[#This Row],[_Pred2Text]]="","",TRIM(MID(SUBSTITUTE(SUBSTITUTE(SUBSTITUTE(UPPER(Tasks[[#This Row],[_Predecessors]]),";",",")," ",""),",",REPT(" ",99)),199,99)))</f>
        <v/>
      </c>
      <c r="CW24" s="42" t="str">
        <f aca="false">IF(Tasks[[#This Row],[_Pred3Text]]="","",IFERROR(VALUE(LEFT(Tasks[[#This Row],[_Pred3Text]],MIN(FIND("F",Tasks[[#This Row],[_Pred3Text]]&amp;"F"),FIND("S",Tasks[[#This Row],[_Pred3Text]]&amp;"S"),FIND("+",Tasks[[#This Row],[_Pred3Text]]&amp;"+"),FIND("-",Tasks[[#This Row],[_Pred3Text]]&amp;"-"))-1)),""))</f>
        <v/>
      </c>
      <c r="CX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4" s="42" t="str">
        <f aca="false">IF(Tasks[[#This Row],[_Pred3Text]]="","",TRIM(MID(SUBSTITUTE(SUBSTITUTE(SUBSTITUTE(UPPER(Tasks[[#This Row],[_Predecessors]]),";",",")," ",""),",",REPT(" ",99)),298,99)))</f>
        <v/>
      </c>
      <c r="DA24" s="42" t="str">
        <f aca="false">IF(Tasks[[#This Row],[_Pred4Text]]="","",IFERROR(VALUE(LEFT(Tasks[[#This Row],[_Pred4Text]],MIN(FIND("F",Tasks[[#This Row],[_Pred4Text]]&amp;"F"),FIND("S",Tasks[[#This Row],[_Pred4Text]]&amp;"S"),FIND("+",Tasks[[#This Row],[_Pred4Text]]&amp;"+"),FIND("-",Tasks[[#This Row],[_Pred4Text]]&amp;"-"))-1)),""))</f>
        <v/>
      </c>
      <c r="DB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4" s="42" t="str">
        <f aca="false">IF(OR(Tasks[[#This Row],[Task Name]]="",Tasks[[#This Row],[_Resources]]=""),"",TRIM(MID(SUBSTITUTE(Tasks[[#This Row],[_Resources]],",",REPT(" ",99)),1,99)))</f>
        <v/>
      </c>
      <c r="DE24" s="42" t="str">
        <f aca="false">IF(Tasks[[#This Row],[_Res1Text]]="","",TRIM(MID(SUBSTITUTE(Tasks[[#This Row],[_Resources]],",",REPT(" ",99)),100,99)))</f>
        <v/>
      </c>
      <c r="DF24" s="42" t="str">
        <f aca="false">IF(Tasks[[#This Row],[_Res2Text]]="","",TRIM(MID(SUBSTITUTE(Tasks[[#This Row],[_Resources]],",",REPT(" ",99)),199,99)))</f>
        <v/>
      </c>
      <c r="DG24" s="42" t="str">
        <f aca="false">IF(Tasks[[#This Row],[_Res3Text]]="","",TRIM(MID(SUBSTITUTE(Tasks[[#This Row],[_Resources]],",",REPT(" ",99)),298,99)))</f>
        <v/>
      </c>
      <c r="DH24" s="42" t="n">
        <f aca="false">IF(Tasks[[#This Row],[_Res1Text]]="",0,IFERROR(MATCH(TRIM(LEFT(Tasks[[#This Row],[_Res1Text]],FIND("[",Tasks[[#This Row],[_Res1Text]]&amp;"[")-1)),res_Name,0),IFERROR(MATCH(TRIM(LEFT(Tasks[[#This Row],[_Res1Text]],FIND("[",Tasks[[#This Row],[_Res1Text]]&amp;"[")-1)),res_Initials,0),0)))</f>
        <v>0</v>
      </c>
      <c r="DI24" s="42" t="n">
        <f aca="false">IF(Tasks[[#This Row],[_Res2Text]]="",0,IFERROR(MATCH(TRIM(LEFT(Tasks[[#This Row],[_Res2Text]],FIND("[",Tasks[[#This Row],[_Res2Text]]&amp;"[")-1)),res_Name,0),IFERROR(MATCH(TRIM(LEFT(Tasks[[#This Row],[_Res2Text]],FIND("[",Tasks[[#This Row],[_Res2Text]]&amp;"[")-1)),res_Initials,0),0)))</f>
        <v>0</v>
      </c>
      <c r="DJ24" s="42" t="n">
        <f aca="false">IF(Tasks[[#This Row],[_Res3Text]]="",0,IFERROR(MATCH(TRIM(LEFT(Tasks[[#This Row],[_Res3Text]],FIND("[",Tasks[[#This Row],[_Res3Text]]&amp;"[")-1)),res_Name,0),IFERROR(MATCH(TRIM(LEFT(Tasks[[#This Row],[_Res3Text]],FIND("[",Tasks[[#This Row],[_Res3Text]]&amp;"[")-1)),res_Initials,0),0)))</f>
        <v>0</v>
      </c>
      <c r="DK24" s="42" t="n">
        <f aca="false">IF(Tasks[[#This Row],[_Res4Text]]="",0,IFERROR(MATCH(TRIM(LEFT(Tasks[[#This Row],[_Res4Text]],FIND("[",Tasks[[#This Row],[_Res4Text]]&amp;"[")-1)),res_Name,0),IFERROR(MATCH(TRIM(LEFT(Tasks[[#This Row],[_Res4Text]],FIND("[",Tasks[[#This Row],[_Res4Text]]&amp;"[")-1)),res_Initials,0),0)))</f>
        <v>0</v>
      </c>
      <c r="DL24" s="42" t="str">
        <f aca="false">IF(Tasks[[#This Row],[_Res1Text]]="","",IF(Tasks[[#This Row],[_Res1Row]]&gt;0,INDEX(res_Name,Tasks[[#This Row],[_Res1Row]]),TRIM(LEFT(Tasks[[#This Row],[_Res1Text]],FIND("[",Tasks[[#This Row],[_Res1Text]]&amp;"[")-1))))</f>
        <v/>
      </c>
      <c r="DM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4" s="42" t="n">
        <f aca="false">IF(NOT(Tasks[[#This Row],[_IsLeaf]]=1),0,(Tasks[[#This Row],[_Resource1]]&lt;&gt;"")+(Tasks[[#This Row],[_Res2]]&lt;&gt;"")+(Tasks[[#This Row],[_Res3]]&lt;&gt;"")+(Tasks[[#This Row],[_Res4]]&lt;&gt;""))</f>
        <v>0</v>
      </c>
      <c r="DO24" s="42" t="str">
        <f aca="false">IF(Tasks[[#This Row],[_Res2Text]]="","",IF(Tasks[[#This Row],[_Res2Row]]&gt;0,INDEX(res_Name,Tasks[[#This Row],[_Res2Row]]),TRIM(LEFT(Tasks[[#This Row],[_Res2Text]],FIND("[",Tasks[[#This Row],[_Res2Text]]&amp;"[")-1))))</f>
        <v/>
      </c>
      <c r="DP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4" s="42" t="n">
        <f aca="false">IF(OR(NOT(Tasks[[#This Row],[_IsLeaf]]=1),Tasks[[#This Row],[_Res2Row]]=0),0,N(Tasks[[#This Row],[_Days]])*HoursPerDay*IF(Tasks[[#This Row],[_Res2Units]]="",DefaultUnits,Tasks[[#This Row],[_Res2Units]]))</f>
        <v>0</v>
      </c>
      <c r="DR24" s="42" t="n">
        <f aca="false">IF(AND(AND(Tasks[[#This Row],[_IsLeaf]]=1,Tasks[[#This Row],[_LeafTotalWork]]&gt;0),Tasks[[#This Row],[_Res2Work]]&gt;0),Tasks[[#This Row],[_Res2Work]]/(Tasks[[#This Row],[_FinishWorkday]]-Tasks[[#This Row],[_StartWorkday]]+1),0)</f>
        <v>0</v>
      </c>
      <c r="DS24" s="42" t="n">
        <f aca="false">Tasks[[#This Row],[_Res2WorkPerWD]]*MAX(0,Tasks[[#This Row],[_StartWorkday]]-1)</f>
        <v>0</v>
      </c>
      <c r="DT24" s="42" t="n">
        <f aca="false">Tasks[[#This Row],[_Res2Work]]*Tasks[[#This Row],[_LeafProgress]]</f>
        <v>0</v>
      </c>
      <c r="DU24" s="42" t="str">
        <f aca="false">IF(Tasks[[#This Row],[_Res3Text]]="","",IF(Tasks[[#This Row],[_Res3Row]]&gt;0,INDEX(res_Name,Tasks[[#This Row],[_Res3Row]]),TRIM(LEFT(Tasks[[#This Row],[_Res3Text]],FIND("[",Tasks[[#This Row],[_Res3Text]]&amp;"[")-1))))</f>
        <v/>
      </c>
      <c r="DV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4" s="42" t="n">
        <f aca="false">IF(OR(NOT(Tasks[[#This Row],[_IsLeaf]]=1),Tasks[[#This Row],[_Res3Row]]=0),0,N(Tasks[[#This Row],[_Days]])*HoursPerDay*IF(Tasks[[#This Row],[_Res3Units]]="",DefaultUnits,Tasks[[#This Row],[_Res3Units]]))</f>
        <v>0</v>
      </c>
      <c r="DX24" s="42" t="n">
        <f aca="false">IF(AND(AND(Tasks[[#This Row],[_IsLeaf]]=1,Tasks[[#This Row],[_LeafTotalWork]]&gt;0),Tasks[[#This Row],[_Res3Work]]&gt;0),Tasks[[#This Row],[_Res3Work]]/(Tasks[[#This Row],[_FinishWorkday]]-Tasks[[#This Row],[_StartWorkday]]+1),0)</f>
        <v>0</v>
      </c>
      <c r="DY24" s="42" t="n">
        <f aca="false">Tasks[[#This Row],[_Res3WorkPerWD]]*MAX(0,Tasks[[#This Row],[_StartWorkday]]-1)</f>
        <v>0</v>
      </c>
      <c r="DZ24" s="42" t="n">
        <f aca="false">Tasks[[#This Row],[_Res3Work]]*Tasks[[#This Row],[_LeafProgress]]</f>
        <v>0</v>
      </c>
      <c r="EA24" s="42" t="str">
        <f aca="false">IF(Tasks[[#This Row],[_Res4Text]]="","",IF(Tasks[[#This Row],[_Res4Row]]&gt;0,INDEX(res_Name,Tasks[[#This Row],[_Res4Row]]),TRIM(LEFT(Tasks[[#This Row],[_Res4Text]],FIND("[",Tasks[[#This Row],[_Res4Text]]&amp;"[")-1))))</f>
        <v/>
      </c>
      <c r="EB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4" s="42" t="n">
        <f aca="false">IF(OR(NOT(Tasks[[#This Row],[_IsLeaf]]=1),Tasks[[#This Row],[_Res4Row]]=0),0,N(Tasks[[#This Row],[_Days]])*HoursPerDay*IF(Tasks[[#This Row],[_Res4Units]]="",DefaultUnits,Tasks[[#This Row],[_Res4Units]]))</f>
        <v>0</v>
      </c>
      <c r="ED24" s="42" t="n">
        <f aca="false">IF(AND(AND(Tasks[[#This Row],[_IsLeaf]]=1,Tasks[[#This Row],[_LeafTotalWork]]&gt;0),Tasks[[#This Row],[_Res4Work]]&gt;0),Tasks[[#This Row],[_Res4Work]]/(Tasks[[#This Row],[_FinishWorkday]]-Tasks[[#This Row],[_StartWorkday]]+1),0)</f>
        <v>0</v>
      </c>
      <c r="EE24" s="42" t="n">
        <f aca="false">Tasks[[#This Row],[_Res4WorkPerWD]]*MAX(0,Tasks[[#This Row],[_StartWorkday]]-1)</f>
        <v>0</v>
      </c>
      <c r="EF24" s="42" t="n">
        <f aca="false">Tasks[[#This Row],[_Res4Work]]*Tasks[[#This Row],[_LeafProgress]]</f>
        <v>0</v>
      </c>
      <c r="EG24" s="42" t="n">
        <f aca="false">IF(ISNUMBER(Tasks[[#This Row],[% Complete]]),Tasks[[#This Row],[% Complete]],IF(Tasks[[#This Row],[Stage]]="",0,IFERROR(INDEX(stg_Pct,MATCH(Tasks[[#This Row],[Stage]],stg_Name,0)),0)))</f>
        <v>0</v>
      </c>
      <c r="EH24" s="42" t="n">
        <f aca="false">IF(NOT(Tasks[[#This Row],[_IsLeaf]]=1),0,IF(N(Tasks[[#This Row],[Actual Finish]])&gt;0,1,MIN(1,Tasks[[#This Row],[_Pct]])))</f>
        <v>0</v>
      </c>
      <c r="EI24" s="42" t="n">
        <f aca="false">IF(OR(NOT(Tasks[[#This Row],[_IsLeaf]]=1),Tasks[[#This Row],[_Res1Row]]=0),0,N(Tasks[[#This Row],[_Days]])*HoursPerDay*IF(Tasks[[#This Row],[_Units1]]="",DefaultUnits,Tasks[[#This Row],[_Units1]]))</f>
        <v>0</v>
      </c>
      <c r="EJ24" s="42" t="n">
        <f aca="false">Tasks[[#This Row],[_LeafWork]]+Tasks[[#This Row],[_Res2Work]]+Tasks[[#This Row],[_Res3Work]]+Tasks[[#This Row],[_Res4Work]]</f>
        <v>0</v>
      </c>
      <c r="EK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4" s="42" t="n">
        <f aca="false">IF(NOT(Tasks[[#This Row],[_IsLeaf]]=1),0,MAX(_xlfn.MAXIFS(Tasks[_Row],Tasks[_Pred1UID],Tasks[[#This Row],[UID]]),_xlfn.MAXIFS(Tasks[_Row],Tasks[_Pred2UID],Tasks[[#This Row],[UID]]),_xlfn.MAXIFS(Tasks[_Row],Tasks[_Pred3UID],Tasks[[#This Row],[UID]]),_xlfn.MAXIFS(Tasks[_Row],Tasks[_Pred4UID],Tasks[[#This Row],[UID]])))</f>
        <v>0</v>
      </c>
      <c r="ET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4" s="89" t="str">
        <f aca="false">IF(NOT(Tasks[[#This Row],[_IsLeaf]]=1),"",IF(N(Tasks[[#This Row],[_Days]])&lt;=0,Tasks[[#This Row],[_LeafLateFinish]],WORKDAY.INTL(Tasks[[#This Row],[_LeafLateFinish]],-(Tasks[[#This Row],[_Days]]-1),WorkWeek,Holidays)))</f>
        <v/>
      </c>
      <c r="EW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4" s="88" t="b">
        <f aca="false">AND(Tasks[[#This Row],[_IsLeaf]]=1,Tasks[[#This Row],[_LeafProgress]]&lt;1,N(Tasks[[#This Row],[_LeafTotalSlack]])&lt;=CriticalSlackDays)</f>
        <v>0</v>
      </c>
      <c r="EY24" s="42" t="n">
        <f aca="false">IF(AND(Tasks[[#This Row],[_IsLeaf]]=1,Tasks[[#This Row],[_ConstraintCode]]=1,Tasks[[#This Row],[Mode]]&lt;&gt;"Manual",N(Tasks[[#This Row],[Actual Start]])=0),MAX(0,N(Tasks[[#This Row],[Free Slack]])),0)</f>
        <v>0</v>
      </c>
      <c r="EZ24" s="89" t="str">
        <f aca="false">IF(NOT(Tasks[[#This Row],[_IsLeaf]]=1),"",IF(Tasks[[#This Row],[_AlapShift]]=0,Tasks[[#This Row],[_LeafCalcStart]],WORKDAY.INTL(Tasks[[#This Row],[_LeafCalcStart]],Tasks[[#This Row],[_AlapShift]],WorkWeek,Holidays)))</f>
        <v/>
      </c>
      <c r="FA24" s="89" t="str">
        <f aca="false">IF(NOT(Tasks[[#This Row],[_IsLeaf]]=1),"",IF(Tasks[[#This Row],[_AlapShift]]=0,Tasks[[#This Row],[_LeafCalcFinish]],WORKDAY.INTL(Tasks[[#This Row],[_LeafCalcFinish]],Tasks[[#This Row],[_AlapShift]],WorkWeek,Holidays)))</f>
        <v/>
      </c>
      <c r="FB24" s="89" t="str">
        <f aca="false">IF(NOT(Tasks[[#This Row],[_IsLeaf]]=1),"",IF(Tasks[[#This Row],[_AlapShift]]=0,Tasks[[#This Row],[_LeafFcstStart]],WORKDAY.INTL(Tasks[[#This Row],[_LeafFcstStart]],Tasks[[#This Row],[_AlapShift]],WorkWeek,Holidays)))</f>
        <v/>
      </c>
      <c r="FC24" s="89" t="str">
        <f aca="false">IF(NOT(Tasks[[#This Row],[_IsLeaf]]=1),"",IF(Tasks[[#This Row],[_AlapShift]]=0,Tasks[[#This Row],[_LeafFcstFinish]],WORKDAY.INTL(Tasks[[#This Row],[_LeafFcstFinish]],Tasks[[#This Row],[_AlapShift]],WorkWeek,Holidays)))</f>
        <v/>
      </c>
      <c r="FD24" s="89" t="str">
        <f aca="false">IF(Tasks[[#This Row],[Task Name]]="","",IF(Tasks[[#This Row],[_IsSummary]],MIN(INDEX(Tasks[_ShownCalcStart],Tasks[[#This Row],[_Row]]+1):INDEX(Tasks[_ShownCalcStart],Tasks[[#This Row],[_Row]]+Tasks[[#This Row],[_Descendants]])),Tasks[[#This Row],[_ShownCalcStart]]))</f>
        <v/>
      </c>
      <c r="FE24" s="89" t="str">
        <f aca="false">IF(Tasks[[#This Row],[Task Name]]="","",IF(Tasks[[#This Row],[_IsSummary]],MAX(INDEX(Tasks[_ShownCalcFinish],Tasks[[#This Row],[_Row]]+1):INDEX(Tasks[_ShownCalcFinish],Tasks[[#This Row],[_Row]]+Tasks[[#This Row],[_Descendants]])),Tasks[[#This Row],[_ShownCalcFinish]]))</f>
        <v/>
      </c>
      <c r="FF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4" s="42" t="n">
        <f aca="false">IF(AND(Tasks[[#This Row],[_IsLeaf]]=1,Tasks[[#This Row],[_LeafTotalWork]]&gt;0),NETWORKDAYS.INTL(ProjectStart,Tasks[[#This Row],[_ShownFcstStart]],WorkWeek,Holidays),0)</f>
        <v>0</v>
      </c>
      <c r="FS24" s="42" t="n">
        <f aca="false">IF(AND(Tasks[[#This Row],[_IsLeaf]]=1,Tasks[[#This Row],[_LeafTotalWork]]&gt;0),MAX(Tasks[[#This Row],[_StartWorkday]],NETWORKDAYS.INTL(ProjectStart,Tasks[[#This Row],[_ShownFcstFinish]],WorkWeek,Holidays)),0)</f>
        <v>0</v>
      </c>
      <c r="FT24" s="42" t="n">
        <f aca="false">IF(AND(Tasks[[#This Row],[_IsLeaf]]=1,Tasks[[#This Row],[_LeafTotalWork]]&gt;0),Tasks[[#This Row],[_LeafWork]]/(Tasks[[#This Row],[_FinishWorkday]]-Tasks[[#This Row],[_StartWorkday]]+1),0)</f>
        <v>0</v>
      </c>
      <c r="FU24" s="42" t="n">
        <f aca="false">Tasks[[#This Row],[_WorkPerWorkday]]*(Tasks[[#This Row],[_StartWorkday]]-1)</f>
        <v>-0</v>
      </c>
      <c r="FV24" s="42" t="n">
        <f aca="false">IF(Tasks[[#This Row],[_IsLeaf]]=1,MAX(N(Tasks[[#This Row],[_Days]]),0.1),0)</f>
        <v>0</v>
      </c>
      <c r="FW24" s="42" t="n">
        <f aca="false">Tasks[[#This Row],[_WeightDur]]*Tasks[[#This Row],[_LeafProgress]]</f>
        <v>0</v>
      </c>
      <c r="FX24" s="42" t="n">
        <f aca="false">Tasks[[#This Row],[_WeightDur]]*Tasks[[#This Row],[_PlannedPct]]</f>
        <v>0</v>
      </c>
      <c r="FY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4" s="42" t="str">
        <f aca="false">IF(AND(Tasks[[#This Row],[_IsLeaf]]=1,N(Tasks[[#This Row],[_Days]])=0,Tasks[[#This Row],[_LeafProgress]]&lt;1),Tasks[[#This Row],[_ShownFcstFinish]]+Tasks[[#This Row],[_Row]]/100000,"")</f>
        <v/>
      </c>
      <c r="GA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4" s="42" t="str">
        <f aca="false">IF(Tasks[[#This Row],[Task Name]]="","",LEFT(Tasks[[#This Row],[WBS]],FIND(".",Tasks[[#This Row],[WBS]]&amp;".")-1))</f>
        <v/>
      </c>
      <c r="GC24" s="42" t="str">
        <f aca="false">IF(AND(Tasks[[#This Row],[Task Name]]&lt;&gt;"",Tasks[[#This Row],[_Level]]=1),Tasks[[#This Row],[_Row]],"")</f>
        <v/>
      </c>
      <c r="GD24" s="42" t="str">
        <f aca="false">IF(AND(Tasks[[#This Row],[_IsLeaf]]=1,N(Tasks[[#This Row],[_Days]])=0),Tasks[[#This Row],[Planned Finish]]+Tasks[[#This Row],[_Row]]/100000,"")</f>
        <v/>
      </c>
      <c r="GE24" s="42" t="str">
        <f aca="false">IF(AND(Tasks[[#This Row],[_IsLeaf]]=1,Tasks[[#This Row],[_LeafProgress]]&lt;1,OR(N(Tasks[[#This Row],[Finish Var]])&gt;0,Tasks[[#This Row],[Status]]="Late Start")),MAX(0,Tasks[[#This Row],[Finish Var]])+1-Tasks[[#This Row],[_Row]]/1000000,"")</f>
        <v/>
      </c>
      <c r="GF24" s="42" t="str">
        <f aca="false">IF(AND(Tasks[[#This Row],[_IsLeaf]]=1,N(Tasks[[#This Row],[Actual Start]])=0,Tasks[[#This Row],[_ShownFcstStart]]&gt;=StatusDate,Tasks[[#This Row],[_ShownFcstStart]]&lt;=LookaheadEnd),Tasks[[#This Row],[_ShownFcstStart]]+Tasks[[#This Row],[_Row]]/100000,"")</f>
        <v/>
      </c>
      <c r="GG24" s="42" t="str">
        <f aca="false">IF(AND(Tasks[[#This Row],[_IsLeaf]]=1,Tasks[[#This Row],[_LeafProgress]]&lt;1,Tasks[[#This Row],[_ShownFcstFinish]]&gt;=StatusDate,Tasks[[#This Row],[_ShownFcstFinish]]&lt;=LookaheadEnd),Tasks[[#This Row],[_ShownFcstFinish]]+Tasks[[#This Row],[_Row]]/100000,"")</f>
        <v/>
      </c>
      <c r="GH24" s="42" t="str">
        <f aca="false">IF(Tasks[[#This Row],[_LeafCritical]],Tasks[[#This Row],[_ShownFcstStart]]+Tasks[[#This Row],[_Row]]/100000,"")</f>
        <v/>
      </c>
      <c r="GI24" s="42" t="n">
        <f aca="false">Tasks[[#This Row],[_LeafWork]]*Tasks[[#This Row],[_LeafProgress]]</f>
        <v>0</v>
      </c>
      <c r="GJ24" s="89" t="str">
        <f aca="false">IF(AND(Tasks[[#This Row],[_IsLeaf]]=1,Tasks[[#This Row],[_LeafProgress]]&gt;=1),IF(N(Tasks[[#This Row],[Actual Finish]])&gt;0,Tasks[[#This Row],[Actual Finish]],Tasks[[#This Row],[_ShownFcstFinish]]),"")</f>
        <v/>
      </c>
      <c r="GK24" s="42" t="n">
        <f aca="false">IF(Tasks[[#This Row],[_IsLeaf]]=1,N(Tasks[[#This Row],[Story Points]]),0)</f>
        <v>0</v>
      </c>
      <c r="GL24" s="42" t="str">
        <f aca="false">""</f>
        <v/>
      </c>
      <c r="GM24" s="88" t="b">
        <f aca="false">IF(Tasks[[#This Row],[Task Name]]="",FALSE(),AND(Tasks[[#This Row],[_IsLeaf]]=1,N(Tasks[[#This Row],[_Days]])=0))</f>
        <v>0</v>
      </c>
      <c r="GN24" s="89" t="n">
        <f aca="false">IF(Tasks[[#This Row],[Task Name]]="",0,IF(AND(Tasks[[#This Row],[_IsLeaf]]=1,NOT(Tasks[[#This Row],[_IsMilestone]]),N(Tasks[[#This Row],[Progress]])&gt;0),Tasks[[#This Row],[Start]],0))</f>
        <v>0</v>
      </c>
      <c r="GO24" s="89" t="n">
        <f aca="false">IF(Tasks[[#This Row],[_DoneFrom]]=0,0,IF(Tasks[[#This Row],[Progress]]&gt;=1,Tasks[[#This Row],[Finish]],MAX(Tasks[[#This Row],[_DoneFrom]],Tasks[[#This Row],[Start]]+ROUND((Tasks[[#This Row],[Finish]]-Tasks[[#This Row],[Start]]+1)*Tasks[[#This Row],[Progress]],0)-1)))</f>
        <v>0</v>
      </c>
      <c r="GP24" s="89" t="n">
        <f aca="false">IF(Tasks[[#This Row],[Task Name]]="",0,IF(OR(NOT(Tasks[[#This Row],[_IsLeaf]]=1),Tasks[[#This Row],[_IsMilestone]],N(Tasks[[#This Row],[Progress]])&gt;=1),0,IF(Tasks[[#This Row],[_DoneTo]]&gt;0,Tasks[[#This Row],[_DoneTo]]+1,Tasks[[#This Row],[Start]])))</f>
        <v>0</v>
      </c>
      <c r="GQ24" s="89" t="n">
        <f aca="false">IF(Tasks[[#This Row],[_RemFrom]]=0,0,Tasks[[#This Row],[Finish]])</f>
        <v>0</v>
      </c>
      <c r="GR24" s="88" t="b">
        <f aca="false">IF(Tasks[[#This Row],[Task Name]]="",FALSE(),OR(NOT(BaselineSet),N(Tasks[[#This Row],[Baseline Start]])&gt;0))</f>
        <v>0</v>
      </c>
      <c r="GS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4" s="90" t="str">
        <f aca="false">IF(Tasks[[#This Row],[_IsLeaf]]=1,Tasks[[#This Row],[_Row]],"")</f>
        <v/>
      </c>
      <c r="GW24" s="90" t="str">
        <f aca="false">IFERROR(INDEX(Tasks[UID],SMALL(Tasks[_PickKey],Tasks[[#This Row],[_Row]]))&amp;" "&amp;INDEX(Tasks[Task Name],SMALL(Tasks[_PickKey],Tasks[[#This Row],[_Row]])),"")</f>
        <v/>
      </c>
      <c r="GX24" s="42" t="str">
        <f aca="false">IF(Tasks[[#This Row],[Task Name]]="","",IF(Tasks[[#This Row],[_IsSummary]],NETWORKDAYS.INTL(Tasks[[#This Row],[Start]],Tasks[[#This Row],[Finish]],WorkWeek,Holidays),N(Tasks[[#This Row],[_Days]])))</f>
        <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3"/>
      <c r="U25" s="23"/>
      <c r="V25" s="83"/>
      <c r="W25" s="23"/>
      <c r="X25" s="83"/>
      <c r="Y25" s="23"/>
      <c r="Z25" s="83"/>
      <c r="AA25" s="23"/>
      <c r="AB25" s="23"/>
      <c r="AC25" s="7"/>
      <c r="AD25" s="7"/>
      <c r="AE25" s="62" t="str">
        <f aca="false">IF(Tasks[[#This Row],[Task Name]]="","",IF(Tasks[[#This Row],[_IsSummary]],MIN(INDEX(Tasks[_ShownFcstStart],Tasks[[#This Row],[_Row]]+1):INDEX(Tasks[_ShownFcstStart],Tasks[[#This Row],[_Row]]+Tasks[[#This Row],[_Descendants]])),Tasks[[#This Row],[_ShownFcstStart]]))</f>
        <v/>
      </c>
      <c r="AF25" s="62"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5" s="7"/>
      <c r="AK25" s="22"/>
      <c r="AL25" s="23"/>
      <c r="AM25" s="7"/>
      <c r="AN25" s="46"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2" t="str">
        <f aca="false">IF(Tasks[[#This Row],[Task Name]]="","",IF(N(Tasks[[#This Row],[Baseline Start]])&gt;0,Tasks[[#This Row],[Baseline Start]],Tasks[[#This Row],[_CalcStart]]))</f>
        <v/>
      </c>
      <c r="AR25" s="62" t="str">
        <f aca="false">IF(Tasks[[#This Row],[Task Name]]="","",IF(N(Tasks[[#This Row],[Baseline Finish]])&gt;0,Tasks[[#This Row],[Baseline Finish]],Tasks[[#This Row],[_CalcFinish]]))</f>
        <v/>
      </c>
      <c r="AS25" s="46" t="str">
        <f aca="false">IF(Tasks[[#This Row],[Task Name]]="","",IF(Tasks[[#This Row],[Start]]&gt;=Tasks[[#This Row],[Planned Start]],NETWORKDAYS.INTL(Tasks[[#This Row],[Planned Start]],Tasks[[#This Row],[Start]],WorkWeek,Holidays)-1,1-NETWORKDAYS.INTL(Tasks[[#This Row],[Start]],Tasks[[#This Row],[Planned Start]],WorkWeek,Holidays)))</f>
        <v/>
      </c>
      <c r="AT25" s="62" t="str">
        <f aca="false">IF(Tasks[[#This Row],[Task Name]]="","",IF(Tasks[[#This Row],[_IsSummary]],MIN(INDEX(Tasks[_LeafLateStart],Tasks[[#This Row],[_Row]]+1):INDEX(Tasks[_LeafLateStart],Tasks[[#This Row],[_Row]]+Tasks[[#This Row],[_Descendants]])),Tasks[[#This Row],[_LeafLateStart]]))</f>
        <v/>
      </c>
      <c r="AU25" s="62" t="str">
        <f aca="false">IF(Tasks[[#This Row],[Task Name]]="","",IF(Tasks[[#This Row],[_IsSummary]],MAX(INDEX(Tasks[_LeafLateFinish],Tasks[[#This Row],[_Row]]+1):INDEX(Tasks[_LeafLateFinish],Tasks[[#This Row],[_Row]]+Tasks[[#This Row],[_Descendants]])),Tasks[[#This Row],[_LeafLateFinish]]))</f>
        <v/>
      </c>
      <c r="AV25" s="46"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4"/>
      <c r="BA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5"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6"/>
      <c r="BJ25" s="22"/>
      <c r="BK25" s="46" t="str">
        <f aca="false">IF(OR(Tasks[[#This Row],[Task Name]]="",Tasks[[#This Row],[Baseline Duration]]=""),"",Tasks[[#This Row],[_SpanDays]]-N(Tasks[[#This Row],[Baseline Duration]]))</f>
        <v/>
      </c>
      <c r="BL25" s="85" t="str">
        <f aca="false">IF(OR(Tasks[[#This Row],[Task Name]]="",Tasks[[#This Row],[Baseline Work]]=""),"",Tasks[[#This Row],[Work]]-N(Tasks[[#This Row],[Baseline Work]]))</f>
        <v/>
      </c>
      <c r="BM25" s="62" t="str">
        <f aca="false">IF(Tasks[[#This Row],[Task Name]]="","",IF(OR(TakeBaseline="Yes",N(Tasks[[#This Row],[Baseline Start]])=0),Tasks[[#This Row],[Start]],Tasks[[#This Row],[Baseline Start]]))</f>
        <v/>
      </c>
      <c r="BN25" s="62"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5" t="str">
        <f aca="false">IF(Tasks[[#This Row],[Task Name]]="","",IF(OR(TakeBaseline="Yes",N(Tasks[[#This Row],[Baseline Work]])=0),Tasks[[#This Row],[Work]],Tasks[[#This Row],[Baseline Work]]))</f>
        <v/>
      </c>
      <c r="BQ25" s="7"/>
      <c r="BR25" s="7"/>
      <c r="BS25" s="22"/>
      <c r="BT25" s="87"/>
      <c r="BU25" s="42" t="str">
        <f aca="false">IF(Tasks[[#This Row],[Task Name]]="","",MAX(1,N(Tasks[[#This Row],[Level]])))</f>
        <v/>
      </c>
      <c r="BV25" s="42" t="n">
        <f aca="false">ROW()-ROW(Tasks[[#Headers],[ID]])</f>
        <v>20</v>
      </c>
      <c r="BW25" s="42" t="n">
        <f aca="false">IF(OR(Tasks[[#This Row],[Task Name]]="",Tasks[[#This Row],[_Level]]&lt;=1),0,IFERROR(LOOKUP(2,1/(Tasks[[#Headers],[_Level]]:Tasks[[#This Row],[_Level]]=Tasks[[#This Row],[_Level]]-1),ROW(Tasks[[#Headers],[_Level]]:Tasks[[#This Row],[_Level]])),0))</f>
        <v>0</v>
      </c>
      <c r="BX25" s="42" t="n">
        <f aca="false">IFERROR(N(INDEX(Tasks[_Level],Tasks[[#This Row],[_Row]]+1)),0)</f>
        <v>0</v>
      </c>
      <c r="BY25" s="88" t="b">
        <f aca="false">AND(Tasks[[#This Row],[Task Name]]&lt;&gt;"",Tasks[[#This Row],[_NextLevel]]&gt;Tasks[[#This Row],[_Level]])</f>
        <v>0</v>
      </c>
      <c r="BZ25" s="42" t="n">
        <f aca="false">IF(Tasks[[#This Row],[_IsSummary]],COUNTIF(Tasks[WBS],Tasks[[#This Row],[WBS]]&amp;".*"),0)</f>
        <v>0</v>
      </c>
      <c r="CA25" s="42" t="n">
        <f aca="false">IF(AND(Tasks[[#This Row],[Task Name]]&lt;&gt;"",NOT(Tasks[[#This Row],[_IsSummary]])),1,0)</f>
        <v>0</v>
      </c>
      <c r="CB25" s="42" t="n">
        <f aca="false">IF(N(Tasks[[#This Row],[_Pred1UID]])=0,0,IFERROR(MATCH(Tasks[[#This Row],[_Pred1UID]],Tasks[UID],0),-1))</f>
        <v>0</v>
      </c>
      <c r="CC25" s="42" t="n">
        <f aca="false">IF(N(Tasks[[#This Row],[_Pred2UID]])=0,0,IFERROR(MATCH(Tasks[[#This Row],[_Pred2UID]],Tasks[UID],0),-1))</f>
        <v>0</v>
      </c>
      <c r="CD25" s="42" t="n">
        <f aca="false">IF(N(Tasks[[#This Row],[_Pred3UID]])=0,0,IFERROR(MATCH(Tasks[[#This Row],[_Pred3UID]],Tasks[UID],0),-1))</f>
        <v>0</v>
      </c>
      <c r="CE25" s="42" t="n">
        <f aca="false">IF(N(Tasks[[#This Row],[_Pred4UID]])=0,0,IFERROR(MATCH(Tasks[[#This Row],[_Pred4UID]],Tasks[UID],0),-1))</f>
        <v>0</v>
      </c>
      <c r="CF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5" s="89" t="n">
        <f aca="false">IF(OR(Tasks[[#This Row],[_ConstraintCode]]=2,Tasks[[#This Row],[_ConstraintCode]]=3,Tasks[[#This Row],[_ConstraintCode]]=4,Tasks[[#This Row],[_ConstraintCode]]=6),Tasks[[#This Row],[_ConstraintStart]],0)</f>
        <v>0</v>
      </c>
      <c r="CI25" s="89" t="n">
        <f aca="false">IF(OR(Tasks[[#This Row],[_ConstraintCode]]=2,Tasks[[#This Row],[_ConstraintCode]]=3,Tasks[[#This Row],[_ConstraintCode]]=5,Tasks[[#This Row],[_ConstraintCode]]=7),Tasks[[#This Row],[_ConstraintStart]],2958465)</f>
        <v>2958465</v>
      </c>
      <c r="CJ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5" s="89" t="str">
        <f aca="false">IF(NOT(Tasks[[#This Row],[_IsLeaf]]=1),"",IF(N(Tasks[[#This Row],[_Days]])&lt;=0,Tasks[[#This Row],[_LeafCalcStart]],WORKDAY.INTL(Tasks[[#This Row],[_LeafCalcStart]],Tasks[[#This Row],[_Days]]-1,WorkWeek,Holidays)))</f>
        <v/>
      </c>
      <c r="CL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5" s="42" t="str">
        <f aca="false">IF(Tasks[[#This Row],[_Predecessors]]="","",TRIM(MID(SUBSTITUTE(SUBSTITUTE(SUBSTITUTE(UPPER(Tasks[[#This Row],[_Predecessors]]),";",",")," ",""),",",REPT(" ",99)),1,99)))</f>
        <v/>
      </c>
      <c r="CO25" s="42" t="str">
        <f aca="false">IF(Tasks[[#This Row],[_Pred1Text]]="","",IFERROR(VALUE(LEFT(Tasks[[#This Row],[_Pred1Text]],MIN(FIND("F",Tasks[[#This Row],[_Pred1Text]]&amp;"F"),FIND("S",Tasks[[#This Row],[_Pred1Text]]&amp;"S"),FIND("+",Tasks[[#This Row],[_Pred1Text]]&amp;"+"),FIND("-",Tasks[[#This Row],[_Pred1Text]]&amp;"-"))-1)),""))</f>
        <v/>
      </c>
      <c r="CP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5" s="42" t="str">
        <f aca="false">IF(Tasks[[#This Row],[_Pred1Text]]="","",TRIM(MID(SUBSTITUTE(SUBSTITUTE(SUBSTITUTE(UPPER(Tasks[[#This Row],[_Predecessors]]),";",",")," ",""),",",REPT(" ",99)),100,99)))</f>
        <v/>
      </c>
      <c r="CS25" s="42" t="str">
        <f aca="false">IF(Tasks[[#This Row],[_Pred2Text]]="","",IFERROR(VALUE(LEFT(Tasks[[#This Row],[_Pred2Text]],MIN(FIND("F",Tasks[[#This Row],[_Pred2Text]]&amp;"F"),FIND("S",Tasks[[#This Row],[_Pred2Text]]&amp;"S"),FIND("+",Tasks[[#This Row],[_Pred2Text]]&amp;"+"),FIND("-",Tasks[[#This Row],[_Pred2Text]]&amp;"-"))-1)),""))</f>
        <v/>
      </c>
      <c r="CT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5" s="42" t="str">
        <f aca="false">IF(Tasks[[#This Row],[_Pred2Text]]="","",TRIM(MID(SUBSTITUTE(SUBSTITUTE(SUBSTITUTE(UPPER(Tasks[[#This Row],[_Predecessors]]),";",",")," ",""),",",REPT(" ",99)),199,99)))</f>
        <v/>
      </c>
      <c r="CW25" s="42" t="str">
        <f aca="false">IF(Tasks[[#This Row],[_Pred3Text]]="","",IFERROR(VALUE(LEFT(Tasks[[#This Row],[_Pred3Text]],MIN(FIND("F",Tasks[[#This Row],[_Pred3Text]]&amp;"F"),FIND("S",Tasks[[#This Row],[_Pred3Text]]&amp;"S"),FIND("+",Tasks[[#This Row],[_Pred3Text]]&amp;"+"),FIND("-",Tasks[[#This Row],[_Pred3Text]]&amp;"-"))-1)),""))</f>
        <v/>
      </c>
      <c r="CX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5" s="42" t="str">
        <f aca="false">IF(Tasks[[#This Row],[_Pred3Text]]="","",TRIM(MID(SUBSTITUTE(SUBSTITUTE(SUBSTITUTE(UPPER(Tasks[[#This Row],[_Predecessors]]),";",",")," ",""),",",REPT(" ",99)),298,99)))</f>
        <v/>
      </c>
      <c r="DA25" s="42" t="str">
        <f aca="false">IF(Tasks[[#This Row],[_Pred4Text]]="","",IFERROR(VALUE(LEFT(Tasks[[#This Row],[_Pred4Text]],MIN(FIND("F",Tasks[[#This Row],[_Pred4Text]]&amp;"F"),FIND("S",Tasks[[#This Row],[_Pred4Text]]&amp;"S"),FIND("+",Tasks[[#This Row],[_Pred4Text]]&amp;"+"),FIND("-",Tasks[[#This Row],[_Pred4Text]]&amp;"-"))-1)),""))</f>
        <v/>
      </c>
      <c r="DB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5" s="42" t="str">
        <f aca="false">IF(OR(Tasks[[#This Row],[Task Name]]="",Tasks[[#This Row],[_Resources]]=""),"",TRIM(MID(SUBSTITUTE(Tasks[[#This Row],[_Resources]],",",REPT(" ",99)),1,99)))</f>
        <v/>
      </c>
      <c r="DE25" s="42" t="str">
        <f aca="false">IF(Tasks[[#This Row],[_Res1Text]]="","",TRIM(MID(SUBSTITUTE(Tasks[[#This Row],[_Resources]],",",REPT(" ",99)),100,99)))</f>
        <v/>
      </c>
      <c r="DF25" s="42" t="str">
        <f aca="false">IF(Tasks[[#This Row],[_Res2Text]]="","",TRIM(MID(SUBSTITUTE(Tasks[[#This Row],[_Resources]],",",REPT(" ",99)),199,99)))</f>
        <v/>
      </c>
      <c r="DG25" s="42" t="str">
        <f aca="false">IF(Tasks[[#This Row],[_Res3Text]]="","",TRIM(MID(SUBSTITUTE(Tasks[[#This Row],[_Resources]],",",REPT(" ",99)),298,99)))</f>
        <v/>
      </c>
      <c r="DH25" s="42" t="n">
        <f aca="false">IF(Tasks[[#This Row],[_Res1Text]]="",0,IFERROR(MATCH(TRIM(LEFT(Tasks[[#This Row],[_Res1Text]],FIND("[",Tasks[[#This Row],[_Res1Text]]&amp;"[")-1)),res_Name,0),IFERROR(MATCH(TRIM(LEFT(Tasks[[#This Row],[_Res1Text]],FIND("[",Tasks[[#This Row],[_Res1Text]]&amp;"[")-1)),res_Initials,0),0)))</f>
        <v>0</v>
      </c>
      <c r="DI25" s="42" t="n">
        <f aca="false">IF(Tasks[[#This Row],[_Res2Text]]="",0,IFERROR(MATCH(TRIM(LEFT(Tasks[[#This Row],[_Res2Text]],FIND("[",Tasks[[#This Row],[_Res2Text]]&amp;"[")-1)),res_Name,0),IFERROR(MATCH(TRIM(LEFT(Tasks[[#This Row],[_Res2Text]],FIND("[",Tasks[[#This Row],[_Res2Text]]&amp;"[")-1)),res_Initials,0),0)))</f>
        <v>0</v>
      </c>
      <c r="DJ25" s="42" t="n">
        <f aca="false">IF(Tasks[[#This Row],[_Res3Text]]="",0,IFERROR(MATCH(TRIM(LEFT(Tasks[[#This Row],[_Res3Text]],FIND("[",Tasks[[#This Row],[_Res3Text]]&amp;"[")-1)),res_Name,0),IFERROR(MATCH(TRIM(LEFT(Tasks[[#This Row],[_Res3Text]],FIND("[",Tasks[[#This Row],[_Res3Text]]&amp;"[")-1)),res_Initials,0),0)))</f>
        <v>0</v>
      </c>
      <c r="DK25" s="42" t="n">
        <f aca="false">IF(Tasks[[#This Row],[_Res4Text]]="",0,IFERROR(MATCH(TRIM(LEFT(Tasks[[#This Row],[_Res4Text]],FIND("[",Tasks[[#This Row],[_Res4Text]]&amp;"[")-1)),res_Name,0),IFERROR(MATCH(TRIM(LEFT(Tasks[[#This Row],[_Res4Text]],FIND("[",Tasks[[#This Row],[_Res4Text]]&amp;"[")-1)),res_Initials,0),0)))</f>
        <v>0</v>
      </c>
      <c r="DL25" s="42" t="str">
        <f aca="false">IF(Tasks[[#This Row],[_Res1Text]]="","",IF(Tasks[[#This Row],[_Res1Row]]&gt;0,INDEX(res_Name,Tasks[[#This Row],[_Res1Row]]),TRIM(LEFT(Tasks[[#This Row],[_Res1Text]],FIND("[",Tasks[[#This Row],[_Res1Text]]&amp;"[")-1))))</f>
        <v/>
      </c>
      <c r="DM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5" s="42" t="n">
        <f aca="false">IF(NOT(Tasks[[#This Row],[_IsLeaf]]=1),0,(Tasks[[#This Row],[_Resource1]]&lt;&gt;"")+(Tasks[[#This Row],[_Res2]]&lt;&gt;"")+(Tasks[[#This Row],[_Res3]]&lt;&gt;"")+(Tasks[[#This Row],[_Res4]]&lt;&gt;""))</f>
        <v>0</v>
      </c>
      <c r="DO25" s="42" t="str">
        <f aca="false">IF(Tasks[[#This Row],[_Res2Text]]="","",IF(Tasks[[#This Row],[_Res2Row]]&gt;0,INDEX(res_Name,Tasks[[#This Row],[_Res2Row]]),TRIM(LEFT(Tasks[[#This Row],[_Res2Text]],FIND("[",Tasks[[#This Row],[_Res2Text]]&amp;"[")-1))))</f>
        <v/>
      </c>
      <c r="DP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5" s="42" t="n">
        <f aca="false">IF(OR(NOT(Tasks[[#This Row],[_IsLeaf]]=1),Tasks[[#This Row],[_Res2Row]]=0),0,N(Tasks[[#This Row],[_Days]])*HoursPerDay*IF(Tasks[[#This Row],[_Res2Units]]="",DefaultUnits,Tasks[[#This Row],[_Res2Units]]))</f>
        <v>0</v>
      </c>
      <c r="DR25" s="42" t="n">
        <f aca="false">IF(AND(AND(Tasks[[#This Row],[_IsLeaf]]=1,Tasks[[#This Row],[_LeafTotalWork]]&gt;0),Tasks[[#This Row],[_Res2Work]]&gt;0),Tasks[[#This Row],[_Res2Work]]/(Tasks[[#This Row],[_FinishWorkday]]-Tasks[[#This Row],[_StartWorkday]]+1),0)</f>
        <v>0</v>
      </c>
      <c r="DS25" s="42" t="n">
        <f aca="false">Tasks[[#This Row],[_Res2WorkPerWD]]*MAX(0,Tasks[[#This Row],[_StartWorkday]]-1)</f>
        <v>0</v>
      </c>
      <c r="DT25" s="42" t="n">
        <f aca="false">Tasks[[#This Row],[_Res2Work]]*Tasks[[#This Row],[_LeafProgress]]</f>
        <v>0</v>
      </c>
      <c r="DU25" s="42" t="str">
        <f aca="false">IF(Tasks[[#This Row],[_Res3Text]]="","",IF(Tasks[[#This Row],[_Res3Row]]&gt;0,INDEX(res_Name,Tasks[[#This Row],[_Res3Row]]),TRIM(LEFT(Tasks[[#This Row],[_Res3Text]],FIND("[",Tasks[[#This Row],[_Res3Text]]&amp;"[")-1))))</f>
        <v/>
      </c>
      <c r="DV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5" s="42" t="n">
        <f aca="false">IF(OR(NOT(Tasks[[#This Row],[_IsLeaf]]=1),Tasks[[#This Row],[_Res3Row]]=0),0,N(Tasks[[#This Row],[_Days]])*HoursPerDay*IF(Tasks[[#This Row],[_Res3Units]]="",DefaultUnits,Tasks[[#This Row],[_Res3Units]]))</f>
        <v>0</v>
      </c>
      <c r="DX25" s="42" t="n">
        <f aca="false">IF(AND(AND(Tasks[[#This Row],[_IsLeaf]]=1,Tasks[[#This Row],[_LeafTotalWork]]&gt;0),Tasks[[#This Row],[_Res3Work]]&gt;0),Tasks[[#This Row],[_Res3Work]]/(Tasks[[#This Row],[_FinishWorkday]]-Tasks[[#This Row],[_StartWorkday]]+1),0)</f>
        <v>0</v>
      </c>
      <c r="DY25" s="42" t="n">
        <f aca="false">Tasks[[#This Row],[_Res3WorkPerWD]]*MAX(0,Tasks[[#This Row],[_StartWorkday]]-1)</f>
        <v>0</v>
      </c>
      <c r="DZ25" s="42" t="n">
        <f aca="false">Tasks[[#This Row],[_Res3Work]]*Tasks[[#This Row],[_LeafProgress]]</f>
        <v>0</v>
      </c>
      <c r="EA25" s="42" t="str">
        <f aca="false">IF(Tasks[[#This Row],[_Res4Text]]="","",IF(Tasks[[#This Row],[_Res4Row]]&gt;0,INDEX(res_Name,Tasks[[#This Row],[_Res4Row]]),TRIM(LEFT(Tasks[[#This Row],[_Res4Text]],FIND("[",Tasks[[#This Row],[_Res4Text]]&amp;"[")-1))))</f>
        <v/>
      </c>
      <c r="EB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5" s="42" t="n">
        <f aca="false">IF(OR(NOT(Tasks[[#This Row],[_IsLeaf]]=1),Tasks[[#This Row],[_Res4Row]]=0),0,N(Tasks[[#This Row],[_Days]])*HoursPerDay*IF(Tasks[[#This Row],[_Res4Units]]="",DefaultUnits,Tasks[[#This Row],[_Res4Units]]))</f>
        <v>0</v>
      </c>
      <c r="ED25" s="42" t="n">
        <f aca="false">IF(AND(AND(Tasks[[#This Row],[_IsLeaf]]=1,Tasks[[#This Row],[_LeafTotalWork]]&gt;0),Tasks[[#This Row],[_Res4Work]]&gt;0),Tasks[[#This Row],[_Res4Work]]/(Tasks[[#This Row],[_FinishWorkday]]-Tasks[[#This Row],[_StartWorkday]]+1),0)</f>
        <v>0</v>
      </c>
      <c r="EE25" s="42" t="n">
        <f aca="false">Tasks[[#This Row],[_Res4WorkPerWD]]*MAX(0,Tasks[[#This Row],[_StartWorkday]]-1)</f>
        <v>0</v>
      </c>
      <c r="EF25" s="42" t="n">
        <f aca="false">Tasks[[#This Row],[_Res4Work]]*Tasks[[#This Row],[_LeafProgress]]</f>
        <v>0</v>
      </c>
      <c r="EG25" s="42" t="n">
        <f aca="false">IF(ISNUMBER(Tasks[[#This Row],[% Complete]]),Tasks[[#This Row],[% Complete]],IF(Tasks[[#This Row],[Stage]]="",0,IFERROR(INDEX(stg_Pct,MATCH(Tasks[[#This Row],[Stage]],stg_Name,0)),0)))</f>
        <v>0</v>
      </c>
      <c r="EH25" s="42" t="n">
        <f aca="false">IF(NOT(Tasks[[#This Row],[_IsLeaf]]=1),0,IF(N(Tasks[[#This Row],[Actual Finish]])&gt;0,1,MIN(1,Tasks[[#This Row],[_Pct]])))</f>
        <v>0</v>
      </c>
      <c r="EI25" s="42" t="n">
        <f aca="false">IF(OR(NOT(Tasks[[#This Row],[_IsLeaf]]=1),Tasks[[#This Row],[_Res1Row]]=0),0,N(Tasks[[#This Row],[_Days]])*HoursPerDay*IF(Tasks[[#This Row],[_Units1]]="",DefaultUnits,Tasks[[#This Row],[_Units1]]))</f>
        <v>0</v>
      </c>
      <c r="EJ25" s="42" t="n">
        <f aca="false">Tasks[[#This Row],[_LeafWork]]+Tasks[[#This Row],[_Res2Work]]+Tasks[[#This Row],[_Res3Work]]+Tasks[[#This Row],[_Res4Work]]</f>
        <v>0</v>
      </c>
      <c r="EK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5" s="42" t="n">
        <f aca="false">IF(NOT(Tasks[[#This Row],[_IsLeaf]]=1),0,MAX(_xlfn.MAXIFS(Tasks[_Row],Tasks[_Pred1UID],Tasks[[#This Row],[UID]]),_xlfn.MAXIFS(Tasks[_Row],Tasks[_Pred2UID],Tasks[[#This Row],[UID]]),_xlfn.MAXIFS(Tasks[_Row],Tasks[_Pred3UID],Tasks[[#This Row],[UID]]),_xlfn.MAXIFS(Tasks[_Row],Tasks[_Pred4UID],Tasks[[#This Row],[UID]])))</f>
        <v>0</v>
      </c>
      <c r="ET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5" s="89" t="str">
        <f aca="false">IF(NOT(Tasks[[#This Row],[_IsLeaf]]=1),"",IF(N(Tasks[[#This Row],[_Days]])&lt;=0,Tasks[[#This Row],[_LeafLateFinish]],WORKDAY.INTL(Tasks[[#This Row],[_LeafLateFinish]],-(Tasks[[#This Row],[_Days]]-1),WorkWeek,Holidays)))</f>
        <v/>
      </c>
      <c r="EW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5" s="88" t="b">
        <f aca="false">AND(Tasks[[#This Row],[_IsLeaf]]=1,Tasks[[#This Row],[_LeafProgress]]&lt;1,N(Tasks[[#This Row],[_LeafTotalSlack]])&lt;=CriticalSlackDays)</f>
        <v>0</v>
      </c>
      <c r="EY25" s="42" t="n">
        <f aca="false">IF(AND(Tasks[[#This Row],[_IsLeaf]]=1,Tasks[[#This Row],[_ConstraintCode]]=1,Tasks[[#This Row],[Mode]]&lt;&gt;"Manual",N(Tasks[[#This Row],[Actual Start]])=0),MAX(0,N(Tasks[[#This Row],[Free Slack]])),0)</f>
        <v>0</v>
      </c>
      <c r="EZ25" s="89" t="str">
        <f aca="false">IF(NOT(Tasks[[#This Row],[_IsLeaf]]=1),"",IF(Tasks[[#This Row],[_AlapShift]]=0,Tasks[[#This Row],[_LeafCalcStart]],WORKDAY.INTL(Tasks[[#This Row],[_LeafCalcStart]],Tasks[[#This Row],[_AlapShift]],WorkWeek,Holidays)))</f>
        <v/>
      </c>
      <c r="FA25" s="89" t="str">
        <f aca="false">IF(NOT(Tasks[[#This Row],[_IsLeaf]]=1),"",IF(Tasks[[#This Row],[_AlapShift]]=0,Tasks[[#This Row],[_LeafCalcFinish]],WORKDAY.INTL(Tasks[[#This Row],[_LeafCalcFinish]],Tasks[[#This Row],[_AlapShift]],WorkWeek,Holidays)))</f>
        <v/>
      </c>
      <c r="FB25" s="89" t="str">
        <f aca="false">IF(NOT(Tasks[[#This Row],[_IsLeaf]]=1),"",IF(Tasks[[#This Row],[_AlapShift]]=0,Tasks[[#This Row],[_LeafFcstStart]],WORKDAY.INTL(Tasks[[#This Row],[_LeafFcstStart]],Tasks[[#This Row],[_AlapShift]],WorkWeek,Holidays)))</f>
        <v/>
      </c>
      <c r="FC25" s="89" t="str">
        <f aca="false">IF(NOT(Tasks[[#This Row],[_IsLeaf]]=1),"",IF(Tasks[[#This Row],[_AlapShift]]=0,Tasks[[#This Row],[_LeafFcstFinish]],WORKDAY.INTL(Tasks[[#This Row],[_LeafFcstFinish]],Tasks[[#This Row],[_AlapShift]],WorkWeek,Holidays)))</f>
        <v/>
      </c>
      <c r="FD25" s="89" t="str">
        <f aca="false">IF(Tasks[[#This Row],[Task Name]]="","",IF(Tasks[[#This Row],[_IsSummary]],MIN(INDEX(Tasks[_ShownCalcStart],Tasks[[#This Row],[_Row]]+1):INDEX(Tasks[_ShownCalcStart],Tasks[[#This Row],[_Row]]+Tasks[[#This Row],[_Descendants]])),Tasks[[#This Row],[_ShownCalcStart]]))</f>
        <v/>
      </c>
      <c r="FE25" s="89" t="str">
        <f aca="false">IF(Tasks[[#This Row],[Task Name]]="","",IF(Tasks[[#This Row],[_IsSummary]],MAX(INDEX(Tasks[_ShownCalcFinish],Tasks[[#This Row],[_Row]]+1):INDEX(Tasks[_ShownCalcFinish],Tasks[[#This Row],[_Row]]+Tasks[[#This Row],[_Descendants]])),Tasks[[#This Row],[_ShownCalcFinish]]))</f>
        <v/>
      </c>
      <c r="FF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5" s="42" t="n">
        <f aca="false">IF(AND(Tasks[[#This Row],[_IsLeaf]]=1,Tasks[[#This Row],[_LeafTotalWork]]&gt;0),NETWORKDAYS.INTL(ProjectStart,Tasks[[#This Row],[_ShownFcstStart]],WorkWeek,Holidays),0)</f>
        <v>0</v>
      </c>
      <c r="FS25" s="42" t="n">
        <f aca="false">IF(AND(Tasks[[#This Row],[_IsLeaf]]=1,Tasks[[#This Row],[_LeafTotalWork]]&gt;0),MAX(Tasks[[#This Row],[_StartWorkday]],NETWORKDAYS.INTL(ProjectStart,Tasks[[#This Row],[_ShownFcstFinish]],WorkWeek,Holidays)),0)</f>
        <v>0</v>
      </c>
      <c r="FT25" s="42" t="n">
        <f aca="false">IF(AND(Tasks[[#This Row],[_IsLeaf]]=1,Tasks[[#This Row],[_LeafTotalWork]]&gt;0),Tasks[[#This Row],[_LeafWork]]/(Tasks[[#This Row],[_FinishWorkday]]-Tasks[[#This Row],[_StartWorkday]]+1),0)</f>
        <v>0</v>
      </c>
      <c r="FU25" s="42" t="n">
        <f aca="false">Tasks[[#This Row],[_WorkPerWorkday]]*(Tasks[[#This Row],[_StartWorkday]]-1)</f>
        <v>-0</v>
      </c>
      <c r="FV25" s="42" t="n">
        <f aca="false">IF(Tasks[[#This Row],[_IsLeaf]]=1,MAX(N(Tasks[[#This Row],[_Days]]),0.1),0)</f>
        <v>0</v>
      </c>
      <c r="FW25" s="42" t="n">
        <f aca="false">Tasks[[#This Row],[_WeightDur]]*Tasks[[#This Row],[_LeafProgress]]</f>
        <v>0</v>
      </c>
      <c r="FX25" s="42" t="n">
        <f aca="false">Tasks[[#This Row],[_WeightDur]]*Tasks[[#This Row],[_PlannedPct]]</f>
        <v>0</v>
      </c>
      <c r="FY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5" s="42" t="str">
        <f aca="false">IF(AND(Tasks[[#This Row],[_IsLeaf]]=1,N(Tasks[[#This Row],[_Days]])=0,Tasks[[#This Row],[_LeafProgress]]&lt;1),Tasks[[#This Row],[_ShownFcstFinish]]+Tasks[[#This Row],[_Row]]/100000,"")</f>
        <v/>
      </c>
      <c r="GA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5" s="42" t="str">
        <f aca="false">IF(Tasks[[#This Row],[Task Name]]="","",LEFT(Tasks[[#This Row],[WBS]],FIND(".",Tasks[[#This Row],[WBS]]&amp;".")-1))</f>
        <v/>
      </c>
      <c r="GC25" s="42" t="str">
        <f aca="false">IF(AND(Tasks[[#This Row],[Task Name]]&lt;&gt;"",Tasks[[#This Row],[_Level]]=1),Tasks[[#This Row],[_Row]],"")</f>
        <v/>
      </c>
      <c r="GD25" s="42" t="str">
        <f aca="false">IF(AND(Tasks[[#This Row],[_IsLeaf]]=1,N(Tasks[[#This Row],[_Days]])=0),Tasks[[#This Row],[Planned Finish]]+Tasks[[#This Row],[_Row]]/100000,"")</f>
        <v/>
      </c>
      <c r="GE25" s="42" t="str">
        <f aca="false">IF(AND(Tasks[[#This Row],[_IsLeaf]]=1,Tasks[[#This Row],[_LeafProgress]]&lt;1,OR(N(Tasks[[#This Row],[Finish Var]])&gt;0,Tasks[[#This Row],[Status]]="Late Start")),MAX(0,Tasks[[#This Row],[Finish Var]])+1-Tasks[[#This Row],[_Row]]/1000000,"")</f>
        <v/>
      </c>
      <c r="GF25" s="42" t="str">
        <f aca="false">IF(AND(Tasks[[#This Row],[_IsLeaf]]=1,N(Tasks[[#This Row],[Actual Start]])=0,Tasks[[#This Row],[_ShownFcstStart]]&gt;=StatusDate,Tasks[[#This Row],[_ShownFcstStart]]&lt;=LookaheadEnd),Tasks[[#This Row],[_ShownFcstStart]]+Tasks[[#This Row],[_Row]]/100000,"")</f>
        <v/>
      </c>
      <c r="GG25" s="42" t="str">
        <f aca="false">IF(AND(Tasks[[#This Row],[_IsLeaf]]=1,Tasks[[#This Row],[_LeafProgress]]&lt;1,Tasks[[#This Row],[_ShownFcstFinish]]&gt;=StatusDate,Tasks[[#This Row],[_ShownFcstFinish]]&lt;=LookaheadEnd),Tasks[[#This Row],[_ShownFcstFinish]]+Tasks[[#This Row],[_Row]]/100000,"")</f>
        <v/>
      </c>
      <c r="GH25" s="42" t="str">
        <f aca="false">IF(Tasks[[#This Row],[_LeafCritical]],Tasks[[#This Row],[_ShownFcstStart]]+Tasks[[#This Row],[_Row]]/100000,"")</f>
        <v/>
      </c>
      <c r="GI25" s="42" t="n">
        <f aca="false">Tasks[[#This Row],[_LeafWork]]*Tasks[[#This Row],[_LeafProgress]]</f>
        <v>0</v>
      </c>
      <c r="GJ25" s="89" t="str">
        <f aca="false">IF(AND(Tasks[[#This Row],[_IsLeaf]]=1,Tasks[[#This Row],[_LeafProgress]]&gt;=1),IF(N(Tasks[[#This Row],[Actual Finish]])&gt;0,Tasks[[#This Row],[Actual Finish]],Tasks[[#This Row],[_ShownFcstFinish]]),"")</f>
        <v/>
      </c>
      <c r="GK25" s="42" t="n">
        <f aca="false">IF(Tasks[[#This Row],[_IsLeaf]]=1,N(Tasks[[#This Row],[Story Points]]),0)</f>
        <v>0</v>
      </c>
      <c r="GL25" s="42" t="str">
        <f aca="false">""</f>
        <v/>
      </c>
      <c r="GM25" s="88" t="b">
        <f aca="false">IF(Tasks[[#This Row],[Task Name]]="",FALSE(),AND(Tasks[[#This Row],[_IsLeaf]]=1,N(Tasks[[#This Row],[_Days]])=0))</f>
        <v>0</v>
      </c>
      <c r="GN25" s="89" t="n">
        <f aca="false">IF(Tasks[[#This Row],[Task Name]]="",0,IF(AND(Tasks[[#This Row],[_IsLeaf]]=1,NOT(Tasks[[#This Row],[_IsMilestone]]),N(Tasks[[#This Row],[Progress]])&gt;0),Tasks[[#This Row],[Start]],0))</f>
        <v>0</v>
      </c>
      <c r="GO25" s="89" t="n">
        <f aca="false">IF(Tasks[[#This Row],[_DoneFrom]]=0,0,IF(Tasks[[#This Row],[Progress]]&gt;=1,Tasks[[#This Row],[Finish]],MAX(Tasks[[#This Row],[_DoneFrom]],Tasks[[#This Row],[Start]]+ROUND((Tasks[[#This Row],[Finish]]-Tasks[[#This Row],[Start]]+1)*Tasks[[#This Row],[Progress]],0)-1)))</f>
        <v>0</v>
      </c>
      <c r="GP25" s="89" t="n">
        <f aca="false">IF(Tasks[[#This Row],[Task Name]]="",0,IF(OR(NOT(Tasks[[#This Row],[_IsLeaf]]=1),Tasks[[#This Row],[_IsMilestone]],N(Tasks[[#This Row],[Progress]])&gt;=1),0,IF(Tasks[[#This Row],[_DoneTo]]&gt;0,Tasks[[#This Row],[_DoneTo]]+1,Tasks[[#This Row],[Start]])))</f>
        <v>0</v>
      </c>
      <c r="GQ25" s="89" t="n">
        <f aca="false">IF(Tasks[[#This Row],[_RemFrom]]=0,0,Tasks[[#This Row],[Finish]])</f>
        <v>0</v>
      </c>
      <c r="GR25" s="88" t="b">
        <f aca="false">IF(Tasks[[#This Row],[Task Name]]="",FALSE(),OR(NOT(BaselineSet),N(Tasks[[#This Row],[Baseline Start]])&gt;0))</f>
        <v>0</v>
      </c>
      <c r="GS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5" s="90" t="str">
        <f aca="false">IF(Tasks[[#This Row],[_IsLeaf]]=1,Tasks[[#This Row],[_Row]],"")</f>
        <v/>
      </c>
      <c r="GW25" s="90" t="str">
        <f aca="false">IFERROR(INDEX(Tasks[UID],SMALL(Tasks[_PickKey],Tasks[[#This Row],[_Row]]))&amp;" "&amp;INDEX(Tasks[Task Name],SMALL(Tasks[_PickKey],Tasks[[#This Row],[_Row]])),"")</f>
        <v/>
      </c>
      <c r="GX25" s="42" t="str">
        <f aca="false">IF(Tasks[[#This Row],[Task Name]]="","",IF(Tasks[[#This Row],[_IsSummary]],NETWORKDAYS.INTL(Tasks[[#This Row],[Start]],Tasks[[#This Row],[Finish]],WorkWeek,Holidays),N(Tasks[[#This Row],[_Days]])))</f>
        <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3"/>
      <c r="U26" s="23"/>
      <c r="V26" s="83"/>
      <c r="W26" s="23"/>
      <c r="X26" s="83"/>
      <c r="Y26" s="23"/>
      <c r="Z26" s="83"/>
      <c r="AA26" s="23"/>
      <c r="AB26" s="23"/>
      <c r="AC26" s="7"/>
      <c r="AD26" s="7"/>
      <c r="AE26" s="62" t="str">
        <f aca="false">IF(Tasks[[#This Row],[Task Name]]="","",IF(Tasks[[#This Row],[_IsSummary]],MIN(INDEX(Tasks[_ShownFcstStart],Tasks[[#This Row],[_Row]]+1):INDEX(Tasks[_ShownFcstStart],Tasks[[#This Row],[_Row]]+Tasks[[#This Row],[_Descendants]])),Tasks[[#This Row],[_ShownFcstStart]]))</f>
        <v/>
      </c>
      <c r="AF26" s="62"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6" s="7"/>
      <c r="AK26" s="22"/>
      <c r="AL26" s="23"/>
      <c r="AM26" s="7"/>
      <c r="AN26" s="46"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2" t="str">
        <f aca="false">IF(Tasks[[#This Row],[Task Name]]="","",IF(N(Tasks[[#This Row],[Baseline Start]])&gt;0,Tasks[[#This Row],[Baseline Start]],Tasks[[#This Row],[_CalcStart]]))</f>
        <v/>
      </c>
      <c r="AR26" s="62" t="str">
        <f aca="false">IF(Tasks[[#This Row],[Task Name]]="","",IF(N(Tasks[[#This Row],[Baseline Finish]])&gt;0,Tasks[[#This Row],[Baseline Finish]],Tasks[[#This Row],[_CalcFinish]]))</f>
        <v/>
      </c>
      <c r="AS26" s="46" t="str">
        <f aca="false">IF(Tasks[[#This Row],[Task Name]]="","",IF(Tasks[[#This Row],[Start]]&gt;=Tasks[[#This Row],[Planned Start]],NETWORKDAYS.INTL(Tasks[[#This Row],[Planned Start]],Tasks[[#This Row],[Start]],WorkWeek,Holidays)-1,1-NETWORKDAYS.INTL(Tasks[[#This Row],[Start]],Tasks[[#This Row],[Planned Start]],WorkWeek,Holidays)))</f>
        <v/>
      </c>
      <c r="AT26" s="62" t="str">
        <f aca="false">IF(Tasks[[#This Row],[Task Name]]="","",IF(Tasks[[#This Row],[_IsSummary]],MIN(INDEX(Tasks[_LeafLateStart],Tasks[[#This Row],[_Row]]+1):INDEX(Tasks[_LeafLateStart],Tasks[[#This Row],[_Row]]+Tasks[[#This Row],[_Descendants]])),Tasks[[#This Row],[_LeafLateStart]]))</f>
        <v/>
      </c>
      <c r="AU26" s="62" t="str">
        <f aca="false">IF(Tasks[[#This Row],[Task Name]]="","",IF(Tasks[[#This Row],[_IsSummary]],MAX(INDEX(Tasks[_LeafLateFinish],Tasks[[#This Row],[_Row]]+1):INDEX(Tasks[_LeafLateFinish],Tasks[[#This Row],[_Row]]+Tasks[[#This Row],[_Descendants]])),Tasks[[#This Row],[_LeafLateFinish]]))</f>
        <v/>
      </c>
      <c r="AV26" s="46"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4"/>
      <c r="BA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5"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6"/>
      <c r="BJ26" s="22"/>
      <c r="BK26" s="46" t="str">
        <f aca="false">IF(OR(Tasks[[#This Row],[Task Name]]="",Tasks[[#This Row],[Baseline Duration]]=""),"",Tasks[[#This Row],[_SpanDays]]-N(Tasks[[#This Row],[Baseline Duration]]))</f>
        <v/>
      </c>
      <c r="BL26" s="85" t="str">
        <f aca="false">IF(OR(Tasks[[#This Row],[Task Name]]="",Tasks[[#This Row],[Baseline Work]]=""),"",Tasks[[#This Row],[Work]]-N(Tasks[[#This Row],[Baseline Work]]))</f>
        <v/>
      </c>
      <c r="BM26" s="62" t="str">
        <f aca="false">IF(Tasks[[#This Row],[Task Name]]="","",IF(OR(TakeBaseline="Yes",N(Tasks[[#This Row],[Baseline Start]])=0),Tasks[[#This Row],[Start]],Tasks[[#This Row],[Baseline Start]]))</f>
        <v/>
      </c>
      <c r="BN26" s="62"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5" t="str">
        <f aca="false">IF(Tasks[[#This Row],[Task Name]]="","",IF(OR(TakeBaseline="Yes",N(Tasks[[#This Row],[Baseline Work]])=0),Tasks[[#This Row],[Work]],Tasks[[#This Row],[Baseline Work]]))</f>
        <v/>
      </c>
      <c r="BQ26" s="7"/>
      <c r="BR26" s="7"/>
      <c r="BS26" s="22"/>
      <c r="BT26" s="87"/>
      <c r="BU26" s="42" t="str">
        <f aca="false">IF(Tasks[[#This Row],[Task Name]]="","",MAX(1,N(Tasks[[#This Row],[Level]])))</f>
        <v/>
      </c>
      <c r="BV26" s="42" t="n">
        <f aca="false">ROW()-ROW(Tasks[[#Headers],[ID]])</f>
        <v>21</v>
      </c>
      <c r="BW26" s="42" t="n">
        <f aca="false">IF(OR(Tasks[[#This Row],[Task Name]]="",Tasks[[#This Row],[_Level]]&lt;=1),0,IFERROR(LOOKUP(2,1/(Tasks[[#Headers],[_Level]]:Tasks[[#This Row],[_Level]]=Tasks[[#This Row],[_Level]]-1),ROW(Tasks[[#Headers],[_Level]]:Tasks[[#This Row],[_Level]])),0))</f>
        <v>0</v>
      </c>
      <c r="BX26" s="42" t="n">
        <f aca="false">IFERROR(N(INDEX(Tasks[_Level],Tasks[[#This Row],[_Row]]+1)),0)</f>
        <v>0</v>
      </c>
      <c r="BY26" s="88" t="b">
        <f aca="false">AND(Tasks[[#This Row],[Task Name]]&lt;&gt;"",Tasks[[#This Row],[_NextLevel]]&gt;Tasks[[#This Row],[_Level]])</f>
        <v>0</v>
      </c>
      <c r="BZ26" s="42" t="n">
        <f aca="false">IF(Tasks[[#This Row],[_IsSummary]],COUNTIF(Tasks[WBS],Tasks[[#This Row],[WBS]]&amp;".*"),0)</f>
        <v>0</v>
      </c>
      <c r="CA26" s="42" t="n">
        <f aca="false">IF(AND(Tasks[[#This Row],[Task Name]]&lt;&gt;"",NOT(Tasks[[#This Row],[_IsSummary]])),1,0)</f>
        <v>0</v>
      </c>
      <c r="CB26" s="42" t="n">
        <f aca="false">IF(N(Tasks[[#This Row],[_Pred1UID]])=0,0,IFERROR(MATCH(Tasks[[#This Row],[_Pred1UID]],Tasks[UID],0),-1))</f>
        <v>0</v>
      </c>
      <c r="CC26" s="42" t="n">
        <f aca="false">IF(N(Tasks[[#This Row],[_Pred2UID]])=0,0,IFERROR(MATCH(Tasks[[#This Row],[_Pred2UID]],Tasks[UID],0),-1))</f>
        <v>0</v>
      </c>
      <c r="CD26" s="42" t="n">
        <f aca="false">IF(N(Tasks[[#This Row],[_Pred3UID]])=0,0,IFERROR(MATCH(Tasks[[#This Row],[_Pred3UID]],Tasks[UID],0),-1))</f>
        <v>0</v>
      </c>
      <c r="CE26" s="42" t="n">
        <f aca="false">IF(N(Tasks[[#This Row],[_Pred4UID]])=0,0,IFERROR(MATCH(Tasks[[#This Row],[_Pred4UID]],Tasks[UID],0),-1))</f>
        <v>0</v>
      </c>
      <c r="CF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6" s="89" t="n">
        <f aca="false">IF(OR(Tasks[[#This Row],[_ConstraintCode]]=2,Tasks[[#This Row],[_ConstraintCode]]=3,Tasks[[#This Row],[_ConstraintCode]]=4,Tasks[[#This Row],[_ConstraintCode]]=6),Tasks[[#This Row],[_ConstraintStart]],0)</f>
        <v>0</v>
      </c>
      <c r="CI26" s="89" t="n">
        <f aca="false">IF(OR(Tasks[[#This Row],[_ConstraintCode]]=2,Tasks[[#This Row],[_ConstraintCode]]=3,Tasks[[#This Row],[_ConstraintCode]]=5,Tasks[[#This Row],[_ConstraintCode]]=7),Tasks[[#This Row],[_ConstraintStart]],2958465)</f>
        <v>2958465</v>
      </c>
      <c r="CJ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6" s="89" t="str">
        <f aca="false">IF(NOT(Tasks[[#This Row],[_IsLeaf]]=1),"",IF(N(Tasks[[#This Row],[_Days]])&lt;=0,Tasks[[#This Row],[_LeafCalcStart]],WORKDAY.INTL(Tasks[[#This Row],[_LeafCalcStart]],Tasks[[#This Row],[_Days]]-1,WorkWeek,Holidays)))</f>
        <v/>
      </c>
      <c r="CL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6" s="42" t="str">
        <f aca="false">IF(Tasks[[#This Row],[_Predecessors]]="","",TRIM(MID(SUBSTITUTE(SUBSTITUTE(SUBSTITUTE(UPPER(Tasks[[#This Row],[_Predecessors]]),";",",")," ",""),",",REPT(" ",99)),1,99)))</f>
        <v/>
      </c>
      <c r="CO26" s="42" t="str">
        <f aca="false">IF(Tasks[[#This Row],[_Pred1Text]]="","",IFERROR(VALUE(LEFT(Tasks[[#This Row],[_Pred1Text]],MIN(FIND("F",Tasks[[#This Row],[_Pred1Text]]&amp;"F"),FIND("S",Tasks[[#This Row],[_Pred1Text]]&amp;"S"),FIND("+",Tasks[[#This Row],[_Pred1Text]]&amp;"+"),FIND("-",Tasks[[#This Row],[_Pred1Text]]&amp;"-"))-1)),""))</f>
        <v/>
      </c>
      <c r="CP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6" s="42" t="str">
        <f aca="false">IF(Tasks[[#This Row],[_Pred1Text]]="","",TRIM(MID(SUBSTITUTE(SUBSTITUTE(SUBSTITUTE(UPPER(Tasks[[#This Row],[_Predecessors]]),";",",")," ",""),",",REPT(" ",99)),100,99)))</f>
        <v/>
      </c>
      <c r="CS26" s="42" t="str">
        <f aca="false">IF(Tasks[[#This Row],[_Pred2Text]]="","",IFERROR(VALUE(LEFT(Tasks[[#This Row],[_Pred2Text]],MIN(FIND("F",Tasks[[#This Row],[_Pred2Text]]&amp;"F"),FIND("S",Tasks[[#This Row],[_Pred2Text]]&amp;"S"),FIND("+",Tasks[[#This Row],[_Pred2Text]]&amp;"+"),FIND("-",Tasks[[#This Row],[_Pred2Text]]&amp;"-"))-1)),""))</f>
        <v/>
      </c>
      <c r="CT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6" s="42" t="str">
        <f aca="false">IF(Tasks[[#This Row],[_Pred2Text]]="","",TRIM(MID(SUBSTITUTE(SUBSTITUTE(SUBSTITUTE(UPPER(Tasks[[#This Row],[_Predecessors]]),";",",")," ",""),",",REPT(" ",99)),199,99)))</f>
        <v/>
      </c>
      <c r="CW26" s="42" t="str">
        <f aca="false">IF(Tasks[[#This Row],[_Pred3Text]]="","",IFERROR(VALUE(LEFT(Tasks[[#This Row],[_Pred3Text]],MIN(FIND("F",Tasks[[#This Row],[_Pred3Text]]&amp;"F"),FIND("S",Tasks[[#This Row],[_Pred3Text]]&amp;"S"),FIND("+",Tasks[[#This Row],[_Pred3Text]]&amp;"+"),FIND("-",Tasks[[#This Row],[_Pred3Text]]&amp;"-"))-1)),""))</f>
        <v/>
      </c>
      <c r="CX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6" s="42" t="str">
        <f aca="false">IF(Tasks[[#This Row],[_Pred3Text]]="","",TRIM(MID(SUBSTITUTE(SUBSTITUTE(SUBSTITUTE(UPPER(Tasks[[#This Row],[_Predecessors]]),";",",")," ",""),",",REPT(" ",99)),298,99)))</f>
        <v/>
      </c>
      <c r="DA26" s="42" t="str">
        <f aca="false">IF(Tasks[[#This Row],[_Pred4Text]]="","",IFERROR(VALUE(LEFT(Tasks[[#This Row],[_Pred4Text]],MIN(FIND("F",Tasks[[#This Row],[_Pred4Text]]&amp;"F"),FIND("S",Tasks[[#This Row],[_Pred4Text]]&amp;"S"),FIND("+",Tasks[[#This Row],[_Pred4Text]]&amp;"+"),FIND("-",Tasks[[#This Row],[_Pred4Text]]&amp;"-"))-1)),""))</f>
        <v/>
      </c>
      <c r="DB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6" s="42" t="str">
        <f aca="false">IF(OR(Tasks[[#This Row],[Task Name]]="",Tasks[[#This Row],[_Resources]]=""),"",TRIM(MID(SUBSTITUTE(Tasks[[#This Row],[_Resources]],",",REPT(" ",99)),1,99)))</f>
        <v/>
      </c>
      <c r="DE26" s="42" t="str">
        <f aca="false">IF(Tasks[[#This Row],[_Res1Text]]="","",TRIM(MID(SUBSTITUTE(Tasks[[#This Row],[_Resources]],",",REPT(" ",99)),100,99)))</f>
        <v/>
      </c>
      <c r="DF26" s="42" t="str">
        <f aca="false">IF(Tasks[[#This Row],[_Res2Text]]="","",TRIM(MID(SUBSTITUTE(Tasks[[#This Row],[_Resources]],",",REPT(" ",99)),199,99)))</f>
        <v/>
      </c>
      <c r="DG26" s="42" t="str">
        <f aca="false">IF(Tasks[[#This Row],[_Res3Text]]="","",TRIM(MID(SUBSTITUTE(Tasks[[#This Row],[_Resources]],",",REPT(" ",99)),298,99)))</f>
        <v/>
      </c>
      <c r="DH26" s="42" t="n">
        <f aca="false">IF(Tasks[[#This Row],[_Res1Text]]="",0,IFERROR(MATCH(TRIM(LEFT(Tasks[[#This Row],[_Res1Text]],FIND("[",Tasks[[#This Row],[_Res1Text]]&amp;"[")-1)),res_Name,0),IFERROR(MATCH(TRIM(LEFT(Tasks[[#This Row],[_Res1Text]],FIND("[",Tasks[[#This Row],[_Res1Text]]&amp;"[")-1)),res_Initials,0),0)))</f>
        <v>0</v>
      </c>
      <c r="DI26" s="42" t="n">
        <f aca="false">IF(Tasks[[#This Row],[_Res2Text]]="",0,IFERROR(MATCH(TRIM(LEFT(Tasks[[#This Row],[_Res2Text]],FIND("[",Tasks[[#This Row],[_Res2Text]]&amp;"[")-1)),res_Name,0),IFERROR(MATCH(TRIM(LEFT(Tasks[[#This Row],[_Res2Text]],FIND("[",Tasks[[#This Row],[_Res2Text]]&amp;"[")-1)),res_Initials,0),0)))</f>
        <v>0</v>
      </c>
      <c r="DJ26" s="42" t="n">
        <f aca="false">IF(Tasks[[#This Row],[_Res3Text]]="",0,IFERROR(MATCH(TRIM(LEFT(Tasks[[#This Row],[_Res3Text]],FIND("[",Tasks[[#This Row],[_Res3Text]]&amp;"[")-1)),res_Name,0),IFERROR(MATCH(TRIM(LEFT(Tasks[[#This Row],[_Res3Text]],FIND("[",Tasks[[#This Row],[_Res3Text]]&amp;"[")-1)),res_Initials,0),0)))</f>
        <v>0</v>
      </c>
      <c r="DK26" s="42" t="n">
        <f aca="false">IF(Tasks[[#This Row],[_Res4Text]]="",0,IFERROR(MATCH(TRIM(LEFT(Tasks[[#This Row],[_Res4Text]],FIND("[",Tasks[[#This Row],[_Res4Text]]&amp;"[")-1)),res_Name,0),IFERROR(MATCH(TRIM(LEFT(Tasks[[#This Row],[_Res4Text]],FIND("[",Tasks[[#This Row],[_Res4Text]]&amp;"[")-1)),res_Initials,0),0)))</f>
        <v>0</v>
      </c>
      <c r="DL26" s="42" t="str">
        <f aca="false">IF(Tasks[[#This Row],[_Res1Text]]="","",IF(Tasks[[#This Row],[_Res1Row]]&gt;0,INDEX(res_Name,Tasks[[#This Row],[_Res1Row]]),TRIM(LEFT(Tasks[[#This Row],[_Res1Text]],FIND("[",Tasks[[#This Row],[_Res1Text]]&amp;"[")-1))))</f>
        <v/>
      </c>
      <c r="DM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6" s="42" t="n">
        <f aca="false">IF(NOT(Tasks[[#This Row],[_IsLeaf]]=1),0,(Tasks[[#This Row],[_Resource1]]&lt;&gt;"")+(Tasks[[#This Row],[_Res2]]&lt;&gt;"")+(Tasks[[#This Row],[_Res3]]&lt;&gt;"")+(Tasks[[#This Row],[_Res4]]&lt;&gt;""))</f>
        <v>0</v>
      </c>
      <c r="DO26" s="42" t="str">
        <f aca="false">IF(Tasks[[#This Row],[_Res2Text]]="","",IF(Tasks[[#This Row],[_Res2Row]]&gt;0,INDEX(res_Name,Tasks[[#This Row],[_Res2Row]]),TRIM(LEFT(Tasks[[#This Row],[_Res2Text]],FIND("[",Tasks[[#This Row],[_Res2Text]]&amp;"[")-1))))</f>
        <v/>
      </c>
      <c r="DP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6" s="42" t="n">
        <f aca="false">IF(OR(NOT(Tasks[[#This Row],[_IsLeaf]]=1),Tasks[[#This Row],[_Res2Row]]=0),0,N(Tasks[[#This Row],[_Days]])*HoursPerDay*IF(Tasks[[#This Row],[_Res2Units]]="",DefaultUnits,Tasks[[#This Row],[_Res2Units]]))</f>
        <v>0</v>
      </c>
      <c r="DR26" s="42" t="n">
        <f aca="false">IF(AND(AND(Tasks[[#This Row],[_IsLeaf]]=1,Tasks[[#This Row],[_LeafTotalWork]]&gt;0),Tasks[[#This Row],[_Res2Work]]&gt;0),Tasks[[#This Row],[_Res2Work]]/(Tasks[[#This Row],[_FinishWorkday]]-Tasks[[#This Row],[_StartWorkday]]+1),0)</f>
        <v>0</v>
      </c>
      <c r="DS26" s="42" t="n">
        <f aca="false">Tasks[[#This Row],[_Res2WorkPerWD]]*MAX(0,Tasks[[#This Row],[_StartWorkday]]-1)</f>
        <v>0</v>
      </c>
      <c r="DT26" s="42" t="n">
        <f aca="false">Tasks[[#This Row],[_Res2Work]]*Tasks[[#This Row],[_LeafProgress]]</f>
        <v>0</v>
      </c>
      <c r="DU26" s="42" t="str">
        <f aca="false">IF(Tasks[[#This Row],[_Res3Text]]="","",IF(Tasks[[#This Row],[_Res3Row]]&gt;0,INDEX(res_Name,Tasks[[#This Row],[_Res3Row]]),TRIM(LEFT(Tasks[[#This Row],[_Res3Text]],FIND("[",Tasks[[#This Row],[_Res3Text]]&amp;"[")-1))))</f>
        <v/>
      </c>
      <c r="DV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6" s="42" t="n">
        <f aca="false">IF(OR(NOT(Tasks[[#This Row],[_IsLeaf]]=1),Tasks[[#This Row],[_Res3Row]]=0),0,N(Tasks[[#This Row],[_Days]])*HoursPerDay*IF(Tasks[[#This Row],[_Res3Units]]="",DefaultUnits,Tasks[[#This Row],[_Res3Units]]))</f>
        <v>0</v>
      </c>
      <c r="DX26" s="42" t="n">
        <f aca="false">IF(AND(AND(Tasks[[#This Row],[_IsLeaf]]=1,Tasks[[#This Row],[_LeafTotalWork]]&gt;0),Tasks[[#This Row],[_Res3Work]]&gt;0),Tasks[[#This Row],[_Res3Work]]/(Tasks[[#This Row],[_FinishWorkday]]-Tasks[[#This Row],[_StartWorkday]]+1),0)</f>
        <v>0</v>
      </c>
      <c r="DY26" s="42" t="n">
        <f aca="false">Tasks[[#This Row],[_Res3WorkPerWD]]*MAX(0,Tasks[[#This Row],[_StartWorkday]]-1)</f>
        <v>0</v>
      </c>
      <c r="DZ26" s="42" t="n">
        <f aca="false">Tasks[[#This Row],[_Res3Work]]*Tasks[[#This Row],[_LeafProgress]]</f>
        <v>0</v>
      </c>
      <c r="EA26" s="42" t="str">
        <f aca="false">IF(Tasks[[#This Row],[_Res4Text]]="","",IF(Tasks[[#This Row],[_Res4Row]]&gt;0,INDEX(res_Name,Tasks[[#This Row],[_Res4Row]]),TRIM(LEFT(Tasks[[#This Row],[_Res4Text]],FIND("[",Tasks[[#This Row],[_Res4Text]]&amp;"[")-1))))</f>
        <v/>
      </c>
      <c r="EB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6" s="42" t="n">
        <f aca="false">IF(OR(NOT(Tasks[[#This Row],[_IsLeaf]]=1),Tasks[[#This Row],[_Res4Row]]=0),0,N(Tasks[[#This Row],[_Days]])*HoursPerDay*IF(Tasks[[#This Row],[_Res4Units]]="",DefaultUnits,Tasks[[#This Row],[_Res4Units]]))</f>
        <v>0</v>
      </c>
      <c r="ED26" s="42" t="n">
        <f aca="false">IF(AND(AND(Tasks[[#This Row],[_IsLeaf]]=1,Tasks[[#This Row],[_LeafTotalWork]]&gt;0),Tasks[[#This Row],[_Res4Work]]&gt;0),Tasks[[#This Row],[_Res4Work]]/(Tasks[[#This Row],[_FinishWorkday]]-Tasks[[#This Row],[_StartWorkday]]+1),0)</f>
        <v>0</v>
      </c>
      <c r="EE26" s="42" t="n">
        <f aca="false">Tasks[[#This Row],[_Res4WorkPerWD]]*MAX(0,Tasks[[#This Row],[_StartWorkday]]-1)</f>
        <v>0</v>
      </c>
      <c r="EF26" s="42" t="n">
        <f aca="false">Tasks[[#This Row],[_Res4Work]]*Tasks[[#This Row],[_LeafProgress]]</f>
        <v>0</v>
      </c>
      <c r="EG26" s="42" t="n">
        <f aca="false">IF(ISNUMBER(Tasks[[#This Row],[% Complete]]),Tasks[[#This Row],[% Complete]],IF(Tasks[[#This Row],[Stage]]="",0,IFERROR(INDEX(stg_Pct,MATCH(Tasks[[#This Row],[Stage]],stg_Name,0)),0)))</f>
        <v>0</v>
      </c>
      <c r="EH26" s="42" t="n">
        <f aca="false">IF(NOT(Tasks[[#This Row],[_IsLeaf]]=1),0,IF(N(Tasks[[#This Row],[Actual Finish]])&gt;0,1,MIN(1,Tasks[[#This Row],[_Pct]])))</f>
        <v>0</v>
      </c>
      <c r="EI26" s="42" t="n">
        <f aca="false">IF(OR(NOT(Tasks[[#This Row],[_IsLeaf]]=1),Tasks[[#This Row],[_Res1Row]]=0),0,N(Tasks[[#This Row],[_Days]])*HoursPerDay*IF(Tasks[[#This Row],[_Units1]]="",DefaultUnits,Tasks[[#This Row],[_Units1]]))</f>
        <v>0</v>
      </c>
      <c r="EJ26" s="42" t="n">
        <f aca="false">Tasks[[#This Row],[_LeafWork]]+Tasks[[#This Row],[_Res2Work]]+Tasks[[#This Row],[_Res3Work]]+Tasks[[#This Row],[_Res4Work]]</f>
        <v>0</v>
      </c>
      <c r="EK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6" s="42" t="n">
        <f aca="false">IF(NOT(Tasks[[#This Row],[_IsLeaf]]=1),0,MAX(_xlfn.MAXIFS(Tasks[_Row],Tasks[_Pred1UID],Tasks[[#This Row],[UID]]),_xlfn.MAXIFS(Tasks[_Row],Tasks[_Pred2UID],Tasks[[#This Row],[UID]]),_xlfn.MAXIFS(Tasks[_Row],Tasks[_Pred3UID],Tasks[[#This Row],[UID]]),_xlfn.MAXIFS(Tasks[_Row],Tasks[_Pred4UID],Tasks[[#This Row],[UID]])))</f>
        <v>0</v>
      </c>
      <c r="ET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6" s="89" t="str">
        <f aca="false">IF(NOT(Tasks[[#This Row],[_IsLeaf]]=1),"",IF(N(Tasks[[#This Row],[_Days]])&lt;=0,Tasks[[#This Row],[_LeafLateFinish]],WORKDAY.INTL(Tasks[[#This Row],[_LeafLateFinish]],-(Tasks[[#This Row],[_Days]]-1),WorkWeek,Holidays)))</f>
        <v/>
      </c>
      <c r="EW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6" s="88" t="b">
        <f aca="false">AND(Tasks[[#This Row],[_IsLeaf]]=1,Tasks[[#This Row],[_LeafProgress]]&lt;1,N(Tasks[[#This Row],[_LeafTotalSlack]])&lt;=CriticalSlackDays)</f>
        <v>0</v>
      </c>
      <c r="EY26" s="42" t="n">
        <f aca="false">IF(AND(Tasks[[#This Row],[_IsLeaf]]=1,Tasks[[#This Row],[_ConstraintCode]]=1,Tasks[[#This Row],[Mode]]&lt;&gt;"Manual",N(Tasks[[#This Row],[Actual Start]])=0),MAX(0,N(Tasks[[#This Row],[Free Slack]])),0)</f>
        <v>0</v>
      </c>
      <c r="EZ26" s="89" t="str">
        <f aca="false">IF(NOT(Tasks[[#This Row],[_IsLeaf]]=1),"",IF(Tasks[[#This Row],[_AlapShift]]=0,Tasks[[#This Row],[_LeafCalcStart]],WORKDAY.INTL(Tasks[[#This Row],[_LeafCalcStart]],Tasks[[#This Row],[_AlapShift]],WorkWeek,Holidays)))</f>
        <v/>
      </c>
      <c r="FA26" s="89" t="str">
        <f aca="false">IF(NOT(Tasks[[#This Row],[_IsLeaf]]=1),"",IF(Tasks[[#This Row],[_AlapShift]]=0,Tasks[[#This Row],[_LeafCalcFinish]],WORKDAY.INTL(Tasks[[#This Row],[_LeafCalcFinish]],Tasks[[#This Row],[_AlapShift]],WorkWeek,Holidays)))</f>
        <v/>
      </c>
      <c r="FB26" s="89" t="str">
        <f aca="false">IF(NOT(Tasks[[#This Row],[_IsLeaf]]=1),"",IF(Tasks[[#This Row],[_AlapShift]]=0,Tasks[[#This Row],[_LeafFcstStart]],WORKDAY.INTL(Tasks[[#This Row],[_LeafFcstStart]],Tasks[[#This Row],[_AlapShift]],WorkWeek,Holidays)))</f>
        <v/>
      </c>
      <c r="FC26" s="89" t="str">
        <f aca="false">IF(NOT(Tasks[[#This Row],[_IsLeaf]]=1),"",IF(Tasks[[#This Row],[_AlapShift]]=0,Tasks[[#This Row],[_LeafFcstFinish]],WORKDAY.INTL(Tasks[[#This Row],[_LeafFcstFinish]],Tasks[[#This Row],[_AlapShift]],WorkWeek,Holidays)))</f>
        <v/>
      </c>
      <c r="FD26" s="89" t="str">
        <f aca="false">IF(Tasks[[#This Row],[Task Name]]="","",IF(Tasks[[#This Row],[_IsSummary]],MIN(INDEX(Tasks[_ShownCalcStart],Tasks[[#This Row],[_Row]]+1):INDEX(Tasks[_ShownCalcStart],Tasks[[#This Row],[_Row]]+Tasks[[#This Row],[_Descendants]])),Tasks[[#This Row],[_ShownCalcStart]]))</f>
        <v/>
      </c>
      <c r="FE26" s="89" t="str">
        <f aca="false">IF(Tasks[[#This Row],[Task Name]]="","",IF(Tasks[[#This Row],[_IsSummary]],MAX(INDEX(Tasks[_ShownCalcFinish],Tasks[[#This Row],[_Row]]+1):INDEX(Tasks[_ShownCalcFinish],Tasks[[#This Row],[_Row]]+Tasks[[#This Row],[_Descendants]])),Tasks[[#This Row],[_ShownCalcFinish]]))</f>
        <v/>
      </c>
      <c r="FF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6" s="42" t="n">
        <f aca="false">IF(AND(Tasks[[#This Row],[_IsLeaf]]=1,Tasks[[#This Row],[_LeafTotalWork]]&gt;0),NETWORKDAYS.INTL(ProjectStart,Tasks[[#This Row],[_ShownFcstStart]],WorkWeek,Holidays),0)</f>
        <v>0</v>
      </c>
      <c r="FS26" s="42" t="n">
        <f aca="false">IF(AND(Tasks[[#This Row],[_IsLeaf]]=1,Tasks[[#This Row],[_LeafTotalWork]]&gt;0),MAX(Tasks[[#This Row],[_StartWorkday]],NETWORKDAYS.INTL(ProjectStart,Tasks[[#This Row],[_ShownFcstFinish]],WorkWeek,Holidays)),0)</f>
        <v>0</v>
      </c>
      <c r="FT26" s="42" t="n">
        <f aca="false">IF(AND(Tasks[[#This Row],[_IsLeaf]]=1,Tasks[[#This Row],[_LeafTotalWork]]&gt;0),Tasks[[#This Row],[_LeafWork]]/(Tasks[[#This Row],[_FinishWorkday]]-Tasks[[#This Row],[_StartWorkday]]+1),0)</f>
        <v>0</v>
      </c>
      <c r="FU26" s="42" t="n">
        <f aca="false">Tasks[[#This Row],[_WorkPerWorkday]]*(Tasks[[#This Row],[_StartWorkday]]-1)</f>
        <v>-0</v>
      </c>
      <c r="FV26" s="42" t="n">
        <f aca="false">IF(Tasks[[#This Row],[_IsLeaf]]=1,MAX(N(Tasks[[#This Row],[_Days]]),0.1),0)</f>
        <v>0</v>
      </c>
      <c r="FW26" s="42" t="n">
        <f aca="false">Tasks[[#This Row],[_WeightDur]]*Tasks[[#This Row],[_LeafProgress]]</f>
        <v>0</v>
      </c>
      <c r="FX26" s="42" t="n">
        <f aca="false">Tasks[[#This Row],[_WeightDur]]*Tasks[[#This Row],[_PlannedPct]]</f>
        <v>0</v>
      </c>
      <c r="FY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6" s="42" t="str">
        <f aca="false">IF(AND(Tasks[[#This Row],[_IsLeaf]]=1,N(Tasks[[#This Row],[_Days]])=0,Tasks[[#This Row],[_LeafProgress]]&lt;1),Tasks[[#This Row],[_ShownFcstFinish]]+Tasks[[#This Row],[_Row]]/100000,"")</f>
        <v/>
      </c>
      <c r="GA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6" s="42" t="str">
        <f aca="false">IF(Tasks[[#This Row],[Task Name]]="","",LEFT(Tasks[[#This Row],[WBS]],FIND(".",Tasks[[#This Row],[WBS]]&amp;".")-1))</f>
        <v/>
      </c>
      <c r="GC26" s="42" t="str">
        <f aca="false">IF(AND(Tasks[[#This Row],[Task Name]]&lt;&gt;"",Tasks[[#This Row],[_Level]]=1),Tasks[[#This Row],[_Row]],"")</f>
        <v/>
      </c>
      <c r="GD26" s="42" t="str">
        <f aca="false">IF(AND(Tasks[[#This Row],[_IsLeaf]]=1,N(Tasks[[#This Row],[_Days]])=0),Tasks[[#This Row],[Planned Finish]]+Tasks[[#This Row],[_Row]]/100000,"")</f>
        <v/>
      </c>
      <c r="GE26" s="42" t="str">
        <f aca="false">IF(AND(Tasks[[#This Row],[_IsLeaf]]=1,Tasks[[#This Row],[_LeafProgress]]&lt;1,OR(N(Tasks[[#This Row],[Finish Var]])&gt;0,Tasks[[#This Row],[Status]]="Late Start")),MAX(0,Tasks[[#This Row],[Finish Var]])+1-Tasks[[#This Row],[_Row]]/1000000,"")</f>
        <v/>
      </c>
      <c r="GF26" s="42" t="str">
        <f aca="false">IF(AND(Tasks[[#This Row],[_IsLeaf]]=1,N(Tasks[[#This Row],[Actual Start]])=0,Tasks[[#This Row],[_ShownFcstStart]]&gt;=StatusDate,Tasks[[#This Row],[_ShownFcstStart]]&lt;=LookaheadEnd),Tasks[[#This Row],[_ShownFcstStart]]+Tasks[[#This Row],[_Row]]/100000,"")</f>
        <v/>
      </c>
      <c r="GG26" s="42" t="str">
        <f aca="false">IF(AND(Tasks[[#This Row],[_IsLeaf]]=1,Tasks[[#This Row],[_LeafProgress]]&lt;1,Tasks[[#This Row],[_ShownFcstFinish]]&gt;=StatusDate,Tasks[[#This Row],[_ShownFcstFinish]]&lt;=LookaheadEnd),Tasks[[#This Row],[_ShownFcstFinish]]+Tasks[[#This Row],[_Row]]/100000,"")</f>
        <v/>
      </c>
      <c r="GH26" s="42" t="str">
        <f aca="false">IF(Tasks[[#This Row],[_LeafCritical]],Tasks[[#This Row],[_ShownFcstStart]]+Tasks[[#This Row],[_Row]]/100000,"")</f>
        <v/>
      </c>
      <c r="GI26" s="42" t="n">
        <f aca="false">Tasks[[#This Row],[_LeafWork]]*Tasks[[#This Row],[_LeafProgress]]</f>
        <v>0</v>
      </c>
      <c r="GJ26" s="89" t="str">
        <f aca="false">IF(AND(Tasks[[#This Row],[_IsLeaf]]=1,Tasks[[#This Row],[_LeafProgress]]&gt;=1),IF(N(Tasks[[#This Row],[Actual Finish]])&gt;0,Tasks[[#This Row],[Actual Finish]],Tasks[[#This Row],[_ShownFcstFinish]]),"")</f>
        <v/>
      </c>
      <c r="GK26" s="42" t="n">
        <f aca="false">IF(Tasks[[#This Row],[_IsLeaf]]=1,N(Tasks[[#This Row],[Story Points]]),0)</f>
        <v>0</v>
      </c>
      <c r="GL26" s="42" t="str">
        <f aca="false">""</f>
        <v/>
      </c>
      <c r="GM26" s="88" t="b">
        <f aca="false">IF(Tasks[[#This Row],[Task Name]]="",FALSE(),AND(Tasks[[#This Row],[_IsLeaf]]=1,N(Tasks[[#This Row],[_Days]])=0))</f>
        <v>0</v>
      </c>
      <c r="GN26" s="89" t="n">
        <f aca="false">IF(Tasks[[#This Row],[Task Name]]="",0,IF(AND(Tasks[[#This Row],[_IsLeaf]]=1,NOT(Tasks[[#This Row],[_IsMilestone]]),N(Tasks[[#This Row],[Progress]])&gt;0),Tasks[[#This Row],[Start]],0))</f>
        <v>0</v>
      </c>
      <c r="GO26" s="89" t="n">
        <f aca="false">IF(Tasks[[#This Row],[_DoneFrom]]=0,0,IF(Tasks[[#This Row],[Progress]]&gt;=1,Tasks[[#This Row],[Finish]],MAX(Tasks[[#This Row],[_DoneFrom]],Tasks[[#This Row],[Start]]+ROUND((Tasks[[#This Row],[Finish]]-Tasks[[#This Row],[Start]]+1)*Tasks[[#This Row],[Progress]],0)-1)))</f>
        <v>0</v>
      </c>
      <c r="GP26" s="89" t="n">
        <f aca="false">IF(Tasks[[#This Row],[Task Name]]="",0,IF(OR(NOT(Tasks[[#This Row],[_IsLeaf]]=1),Tasks[[#This Row],[_IsMilestone]],N(Tasks[[#This Row],[Progress]])&gt;=1),0,IF(Tasks[[#This Row],[_DoneTo]]&gt;0,Tasks[[#This Row],[_DoneTo]]+1,Tasks[[#This Row],[Start]])))</f>
        <v>0</v>
      </c>
      <c r="GQ26" s="89" t="n">
        <f aca="false">IF(Tasks[[#This Row],[_RemFrom]]=0,0,Tasks[[#This Row],[Finish]])</f>
        <v>0</v>
      </c>
      <c r="GR26" s="88" t="b">
        <f aca="false">IF(Tasks[[#This Row],[Task Name]]="",FALSE(),OR(NOT(BaselineSet),N(Tasks[[#This Row],[Baseline Start]])&gt;0))</f>
        <v>0</v>
      </c>
      <c r="GS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6" s="90" t="str">
        <f aca="false">IF(Tasks[[#This Row],[_IsLeaf]]=1,Tasks[[#This Row],[_Row]],"")</f>
        <v/>
      </c>
      <c r="GW26" s="90" t="str">
        <f aca="false">IFERROR(INDEX(Tasks[UID],SMALL(Tasks[_PickKey],Tasks[[#This Row],[_Row]]))&amp;" "&amp;INDEX(Tasks[Task Name],SMALL(Tasks[_PickKey],Tasks[[#This Row],[_Row]])),"")</f>
        <v/>
      </c>
      <c r="GX26" s="42" t="str">
        <f aca="false">IF(Tasks[[#This Row],[Task Name]]="","",IF(Tasks[[#This Row],[_IsSummary]],NETWORKDAYS.INTL(Tasks[[#This Row],[Start]],Tasks[[#This Row],[Finish]],WorkWeek,Holidays),N(Tasks[[#This Row],[_Days]])))</f>
        <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3"/>
      <c r="U27" s="23"/>
      <c r="V27" s="83"/>
      <c r="W27" s="23"/>
      <c r="X27" s="83"/>
      <c r="Y27" s="23"/>
      <c r="Z27" s="83"/>
      <c r="AA27" s="23"/>
      <c r="AB27" s="23"/>
      <c r="AC27" s="7"/>
      <c r="AD27" s="7"/>
      <c r="AE27" s="62" t="str">
        <f aca="false">IF(Tasks[[#This Row],[Task Name]]="","",IF(Tasks[[#This Row],[_IsSummary]],MIN(INDEX(Tasks[_ShownFcstStart],Tasks[[#This Row],[_Row]]+1):INDEX(Tasks[_ShownFcstStart],Tasks[[#This Row],[_Row]]+Tasks[[#This Row],[_Descendants]])),Tasks[[#This Row],[_ShownFcstStart]]))</f>
        <v/>
      </c>
      <c r="AF27" s="62"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7" s="7"/>
      <c r="AK27" s="22"/>
      <c r="AL27" s="23"/>
      <c r="AM27" s="7"/>
      <c r="AN27" s="46"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2" t="str">
        <f aca="false">IF(Tasks[[#This Row],[Task Name]]="","",IF(N(Tasks[[#This Row],[Baseline Start]])&gt;0,Tasks[[#This Row],[Baseline Start]],Tasks[[#This Row],[_CalcStart]]))</f>
        <v/>
      </c>
      <c r="AR27" s="62" t="str">
        <f aca="false">IF(Tasks[[#This Row],[Task Name]]="","",IF(N(Tasks[[#This Row],[Baseline Finish]])&gt;0,Tasks[[#This Row],[Baseline Finish]],Tasks[[#This Row],[_CalcFinish]]))</f>
        <v/>
      </c>
      <c r="AS27" s="46" t="str">
        <f aca="false">IF(Tasks[[#This Row],[Task Name]]="","",IF(Tasks[[#This Row],[Start]]&gt;=Tasks[[#This Row],[Planned Start]],NETWORKDAYS.INTL(Tasks[[#This Row],[Planned Start]],Tasks[[#This Row],[Start]],WorkWeek,Holidays)-1,1-NETWORKDAYS.INTL(Tasks[[#This Row],[Start]],Tasks[[#This Row],[Planned Start]],WorkWeek,Holidays)))</f>
        <v/>
      </c>
      <c r="AT27" s="62" t="str">
        <f aca="false">IF(Tasks[[#This Row],[Task Name]]="","",IF(Tasks[[#This Row],[_IsSummary]],MIN(INDEX(Tasks[_LeafLateStart],Tasks[[#This Row],[_Row]]+1):INDEX(Tasks[_LeafLateStart],Tasks[[#This Row],[_Row]]+Tasks[[#This Row],[_Descendants]])),Tasks[[#This Row],[_LeafLateStart]]))</f>
        <v/>
      </c>
      <c r="AU27" s="62" t="str">
        <f aca="false">IF(Tasks[[#This Row],[Task Name]]="","",IF(Tasks[[#This Row],[_IsSummary]],MAX(INDEX(Tasks[_LeafLateFinish],Tasks[[#This Row],[_Row]]+1):INDEX(Tasks[_LeafLateFinish],Tasks[[#This Row],[_Row]]+Tasks[[#This Row],[_Descendants]])),Tasks[[#This Row],[_LeafLateFinish]]))</f>
        <v/>
      </c>
      <c r="AV27" s="46"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4"/>
      <c r="BA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5"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6"/>
      <c r="BJ27" s="22"/>
      <c r="BK27" s="46" t="str">
        <f aca="false">IF(OR(Tasks[[#This Row],[Task Name]]="",Tasks[[#This Row],[Baseline Duration]]=""),"",Tasks[[#This Row],[_SpanDays]]-N(Tasks[[#This Row],[Baseline Duration]]))</f>
        <v/>
      </c>
      <c r="BL27" s="85" t="str">
        <f aca="false">IF(OR(Tasks[[#This Row],[Task Name]]="",Tasks[[#This Row],[Baseline Work]]=""),"",Tasks[[#This Row],[Work]]-N(Tasks[[#This Row],[Baseline Work]]))</f>
        <v/>
      </c>
      <c r="BM27" s="62" t="str">
        <f aca="false">IF(Tasks[[#This Row],[Task Name]]="","",IF(OR(TakeBaseline="Yes",N(Tasks[[#This Row],[Baseline Start]])=0),Tasks[[#This Row],[Start]],Tasks[[#This Row],[Baseline Start]]))</f>
        <v/>
      </c>
      <c r="BN27" s="62"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5" t="str">
        <f aca="false">IF(Tasks[[#This Row],[Task Name]]="","",IF(OR(TakeBaseline="Yes",N(Tasks[[#This Row],[Baseline Work]])=0),Tasks[[#This Row],[Work]],Tasks[[#This Row],[Baseline Work]]))</f>
        <v/>
      </c>
      <c r="BQ27" s="7"/>
      <c r="BR27" s="7"/>
      <c r="BS27" s="22"/>
      <c r="BT27" s="87"/>
      <c r="BU27" s="42" t="str">
        <f aca="false">IF(Tasks[[#This Row],[Task Name]]="","",MAX(1,N(Tasks[[#This Row],[Level]])))</f>
        <v/>
      </c>
      <c r="BV27" s="42" t="n">
        <f aca="false">ROW()-ROW(Tasks[[#Headers],[ID]])</f>
        <v>22</v>
      </c>
      <c r="BW27" s="42" t="n">
        <f aca="false">IF(OR(Tasks[[#This Row],[Task Name]]="",Tasks[[#This Row],[_Level]]&lt;=1),0,IFERROR(LOOKUP(2,1/(Tasks[[#Headers],[_Level]]:Tasks[[#This Row],[_Level]]=Tasks[[#This Row],[_Level]]-1),ROW(Tasks[[#Headers],[_Level]]:Tasks[[#This Row],[_Level]])),0))</f>
        <v>0</v>
      </c>
      <c r="BX27" s="42" t="n">
        <f aca="false">IFERROR(N(INDEX(Tasks[_Level],Tasks[[#This Row],[_Row]]+1)),0)</f>
        <v>0</v>
      </c>
      <c r="BY27" s="88" t="b">
        <f aca="false">AND(Tasks[[#This Row],[Task Name]]&lt;&gt;"",Tasks[[#This Row],[_NextLevel]]&gt;Tasks[[#This Row],[_Level]])</f>
        <v>0</v>
      </c>
      <c r="BZ27" s="42" t="n">
        <f aca="false">IF(Tasks[[#This Row],[_IsSummary]],COUNTIF(Tasks[WBS],Tasks[[#This Row],[WBS]]&amp;".*"),0)</f>
        <v>0</v>
      </c>
      <c r="CA27" s="42" t="n">
        <f aca="false">IF(AND(Tasks[[#This Row],[Task Name]]&lt;&gt;"",NOT(Tasks[[#This Row],[_IsSummary]])),1,0)</f>
        <v>0</v>
      </c>
      <c r="CB27" s="42" t="n">
        <f aca="false">IF(N(Tasks[[#This Row],[_Pred1UID]])=0,0,IFERROR(MATCH(Tasks[[#This Row],[_Pred1UID]],Tasks[UID],0),-1))</f>
        <v>0</v>
      </c>
      <c r="CC27" s="42" t="n">
        <f aca="false">IF(N(Tasks[[#This Row],[_Pred2UID]])=0,0,IFERROR(MATCH(Tasks[[#This Row],[_Pred2UID]],Tasks[UID],0),-1))</f>
        <v>0</v>
      </c>
      <c r="CD27" s="42" t="n">
        <f aca="false">IF(N(Tasks[[#This Row],[_Pred3UID]])=0,0,IFERROR(MATCH(Tasks[[#This Row],[_Pred3UID]],Tasks[UID],0),-1))</f>
        <v>0</v>
      </c>
      <c r="CE27" s="42" t="n">
        <f aca="false">IF(N(Tasks[[#This Row],[_Pred4UID]])=0,0,IFERROR(MATCH(Tasks[[#This Row],[_Pred4UID]],Tasks[UID],0),-1))</f>
        <v>0</v>
      </c>
      <c r="CF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7" s="89" t="n">
        <f aca="false">IF(OR(Tasks[[#This Row],[_ConstraintCode]]=2,Tasks[[#This Row],[_ConstraintCode]]=3,Tasks[[#This Row],[_ConstraintCode]]=4,Tasks[[#This Row],[_ConstraintCode]]=6),Tasks[[#This Row],[_ConstraintStart]],0)</f>
        <v>0</v>
      </c>
      <c r="CI27" s="89" t="n">
        <f aca="false">IF(OR(Tasks[[#This Row],[_ConstraintCode]]=2,Tasks[[#This Row],[_ConstraintCode]]=3,Tasks[[#This Row],[_ConstraintCode]]=5,Tasks[[#This Row],[_ConstraintCode]]=7),Tasks[[#This Row],[_ConstraintStart]],2958465)</f>
        <v>2958465</v>
      </c>
      <c r="CJ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7" s="89" t="str">
        <f aca="false">IF(NOT(Tasks[[#This Row],[_IsLeaf]]=1),"",IF(N(Tasks[[#This Row],[_Days]])&lt;=0,Tasks[[#This Row],[_LeafCalcStart]],WORKDAY.INTL(Tasks[[#This Row],[_LeafCalcStart]],Tasks[[#This Row],[_Days]]-1,WorkWeek,Holidays)))</f>
        <v/>
      </c>
      <c r="CL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7" s="42" t="str">
        <f aca="false">IF(Tasks[[#This Row],[_Predecessors]]="","",TRIM(MID(SUBSTITUTE(SUBSTITUTE(SUBSTITUTE(UPPER(Tasks[[#This Row],[_Predecessors]]),";",",")," ",""),",",REPT(" ",99)),1,99)))</f>
        <v/>
      </c>
      <c r="CO27" s="42" t="str">
        <f aca="false">IF(Tasks[[#This Row],[_Pred1Text]]="","",IFERROR(VALUE(LEFT(Tasks[[#This Row],[_Pred1Text]],MIN(FIND("F",Tasks[[#This Row],[_Pred1Text]]&amp;"F"),FIND("S",Tasks[[#This Row],[_Pred1Text]]&amp;"S"),FIND("+",Tasks[[#This Row],[_Pred1Text]]&amp;"+"),FIND("-",Tasks[[#This Row],[_Pred1Text]]&amp;"-"))-1)),""))</f>
        <v/>
      </c>
      <c r="CP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7" s="42" t="str">
        <f aca="false">IF(Tasks[[#This Row],[_Pred1Text]]="","",TRIM(MID(SUBSTITUTE(SUBSTITUTE(SUBSTITUTE(UPPER(Tasks[[#This Row],[_Predecessors]]),";",",")," ",""),",",REPT(" ",99)),100,99)))</f>
        <v/>
      </c>
      <c r="CS27" s="42" t="str">
        <f aca="false">IF(Tasks[[#This Row],[_Pred2Text]]="","",IFERROR(VALUE(LEFT(Tasks[[#This Row],[_Pred2Text]],MIN(FIND("F",Tasks[[#This Row],[_Pred2Text]]&amp;"F"),FIND("S",Tasks[[#This Row],[_Pred2Text]]&amp;"S"),FIND("+",Tasks[[#This Row],[_Pred2Text]]&amp;"+"),FIND("-",Tasks[[#This Row],[_Pred2Text]]&amp;"-"))-1)),""))</f>
        <v/>
      </c>
      <c r="CT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7" s="42" t="str">
        <f aca="false">IF(Tasks[[#This Row],[_Pred2Text]]="","",TRIM(MID(SUBSTITUTE(SUBSTITUTE(SUBSTITUTE(UPPER(Tasks[[#This Row],[_Predecessors]]),";",",")," ",""),",",REPT(" ",99)),199,99)))</f>
        <v/>
      </c>
      <c r="CW27" s="42" t="str">
        <f aca="false">IF(Tasks[[#This Row],[_Pred3Text]]="","",IFERROR(VALUE(LEFT(Tasks[[#This Row],[_Pred3Text]],MIN(FIND("F",Tasks[[#This Row],[_Pred3Text]]&amp;"F"),FIND("S",Tasks[[#This Row],[_Pred3Text]]&amp;"S"),FIND("+",Tasks[[#This Row],[_Pred3Text]]&amp;"+"),FIND("-",Tasks[[#This Row],[_Pred3Text]]&amp;"-"))-1)),""))</f>
        <v/>
      </c>
      <c r="CX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7" s="42" t="str">
        <f aca="false">IF(Tasks[[#This Row],[_Pred3Text]]="","",TRIM(MID(SUBSTITUTE(SUBSTITUTE(SUBSTITUTE(UPPER(Tasks[[#This Row],[_Predecessors]]),";",",")," ",""),",",REPT(" ",99)),298,99)))</f>
        <v/>
      </c>
      <c r="DA27" s="42" t="str">
        <f aca="false">IF(Tasks[[#This Row],[_Pred4Text]]="","",IFERROR(VALUE(LEFT(Tasks[[#This Row],[_Pred4Text]],MIN(FIND("F",Tasks[[#This Row],[_Pred4Text]]&amp;"F"),FIND("S",Tasks[[#This Row],[_Pred4Text]]&amp;"S"),FIND("+",Tasks[[#This Row],[_Pred4Text]]&amp;"+"),FIND("-",Tasks[[#This Row],[_Pred4Text]]&amp;"-"))-1)),""))</f>
        <v/>
      </c>
      <c r="DB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7" s="42" t="str">
        <f aca="false">IF(OR(Tasks[[#This Row],[Task Name]]="",Tasks[[#This Row],[_Resources]]=""),"",TRIM(MID(SUBSTITUTE(Tasks[[#This Row],[_Resources]],",",REPT(" ",99)),1,99)))</f>
        <v/>
      </c>
      <c r="DE27" s="42" t="str">
        <f aca="false">IF(Tasks[[#This Row],[_Res1Text]]="","",TRIM(MID(SUBSTITUTE(Tasks[[#This Row],[_Resources]],",",REPT(" ",99)),100,99)))</f>
        <v/>
      </c>
      <c r="DF27" s="42" t="str">
        <f aca="false">IF(Tasks[[#This Row],[_Res2Text]]="","",TRIM(MID(SUBSTITUTE(Tasks[[#This Row],[_Resources]],",",REPT(" ",99)),199,99)))</f>
        <v/>
      </c>
      <c r="DG27" s="42" t="str">
        <f aca="false">IF(Tasks[[#This Row],[_Res3Text]]="","",TRIM(MID(SUBSTITUTE(Tasks[[#This Row],[_Resources]],",",REPT(" ",99)),298,99)))</f>
        <v/>
      </c>
      <c r="DH27" s="42" t="n">
        <f aca="false">IF(Tasks[[#This Row],[_Res1Text]]="",0,IFERROR(MATCH(TRIM(LEFT(Tasks[[#This Row],[_Res1Text]],FIND("[",Tasks[[#This Row],[_Res1Text]]&amp;"[")-1)),res_Name,0),IFERROR(MATCH(TRIM(LEFT(Tasks[[#This Row],[_Res1Text]],FIND("[",Tasks[[#This Row],[_Res1Text]]&amp;"[")-1)),res_Initials,0),0)))</f>
        <v>0</v>
      </c>
      <c r="DI27" s="42" t="n">
        <f aca="false">IF(Tasks[[#This Row],[_Res2Text]]="",0,IFERROR(MATCH(TRIM(LEFT(Tasks[[#This Row],[_Res2Text]],FIND("[",Tasks[[#This Row],[_Res2Text]]&amp;"[")-1)),res_Name,0),IFERROR(MATCH(TRIM(LEFT(Tasks[[#This Row],[_Res2Text]],FIND("[",Tasks[[#This Row],[_Res2Text]]&amp;"[")-1)),res_Initials,0),0)))</f>
        <v>0</v>
      </c>
      <c r="DJ27" s="42" t="n">
        <f aca="false">IF(Tasks[[#This Row],[_Res3Text]]="",0,IFERROR(MATCH(TRIM(LEFT(Tasks[[#This Row],[_Res3Text]],FIND("[",Tasks[[#This Row],[_Res3Text]]&amp;"[")-1)),res_Name,0),IFERROR(MATCH(TRIM(LEFT(Tasks[[#This Row],[_Res3Text]],FIND("[",Tasks[[#This Row],[_Res3Text]]&amp;"[")-1)),res_Initials,0),0)))</f>
        <v>0</v>
      </c>
      <c r="DK27" s="42" t="n">
        <f aca="false">IF(Tasks[[#This Row],[_Res4Text]]="",0,IFERROR(MATCH(TRIM(LEFT(Tasks[[#This Row],[_Res4Text]],FIND("[",Tasks[[#This Row],[_Res4Text]]&amp;"[")-1)),res_Name,0),IFERROR(MATCH(TRIM(LEFT(Tasks[[#This Row],[_Res4Text]],FIND("[",Tasks[[#This Row],[_Res4Text]]&amp;"[")-1)),res_Initials,0),0)))</f>
        <v>0</v>
      </c>
      <c r="DL27" s="42" t="str">
        <f aca="false">IF(Tasks[[#This Row],[_Res1Text]]="","",IF(Tasks[[#This Row],[_Res1Row]]&gt;0,INDEX(res_Name,Tasks[[#This Row],[_Res1Row]]),TRIM(LEFT(Tasks[[#This Row],[_Res1Text]],FIND("[",Tasks[[#This Row],[_Res1Text]]&amp;"[")-1))))</f>
        <v/>
      </c>
      <c r="DM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7" s="42" t="n">
        <f aca="false">IF(NOT(Tasks[[#This Row],[_IsLeaf]]=1),0,(Tasks[[#This Row],[_Resource1]]&lt;&gt;"")+(Tasks[[#This Row],[_Res2]]&lt;&gt;"")+(Tasks[[#This Row],[_Res3]]&lt;&gt;"")+(Tasks[[#This Row],[_Res4]]&lt;&gt;""))</f>
        <v>0</v>
      </c>
      <c r="DO27" s="42" t="str">
        <f aca="false">IF(Tasks[[#This Row],[_Res2Text]]="","",IF(Tasks[[#This Row],[_Res2Row]]&gt;0,INDEX(res_Name,Tasks[[#This Row],[_Res2Row]]),TRIM(LEFT(Tasks[[#This Row],[_Res2Text]],FIND("[",Tasks[[#This Row],[_Res2Text]]&amp;"[")-1))))</f>
        <v/>
      </c>
      <c r="DP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7" s="42" t="n">
        <f aca="false">IF(OR(NOT(Tasks[[#This Row],[_IsLeaf]]=1),Tasks[[#This Row],[_Res2Row]]=0),0,N(Tasks[[#This Row],[_Days]])*HoursPerDay*IF(Tasks[[#This Row],[_Res2Units]]="",DefaultUnits,Tasks[[#This Row],[_Res2Units]]))</f>
        <v>0</v>
      </c>
      <c r="DR27" s="42" t="n">
        <f aca="false">IF(AND(AND(Tasks[[#This Row],[_IsLeaf]]=1,Tasks[[#This Row],[_LeafTotalWork]]&gt;0),Tasks[[#This Row],[_Res2Work]]&gt;0),Tasks[[#This Row],[_Res2Work]]/(Tasks[[#This Row],[_FinishWorkday]]-Tasks[[#This Row],[_StartWorkday]]+1),0)</f>
        <v>0</v>
      </c>
      <c r="DS27" s="42" t="n">
        <f aca="false">Tasks[[#This Row],[_Res2WorkPerWD]]*MAX(0,Tasks[[#This Row],[_StartWorkday]]-1)</f>
        <v>0</v>
      </c>
      <c r="DT27" s="42" t="n">
        <f aca="false">Tasks[[#This Row],[_Res2Work]]*Tasks[[#This Row],[_LeafProgress]]</f>
        <v>0</v>
      </c>
      <c r="DU27" s="42" t="str">
        <f aca="false">IF(Tasks[[#This Row],[_Res3Text]]="","",IF(Tasks[[#This Row],[_Res3Row]]&gt;0,INDEX(res_Name,Tasks[[#This Row],[_Res3Row]]),TRIM(LEFT(Tasks[[#This Row],[_Res3Text]],FIND("[",Tasks[[#This Row],[_Res3Text]]&amp;"[")-1))))</f>
        <v/>
      </c>
      <c r="DV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7" s="42" t="n">
        <f aca="false">IF(OR(NOT(Tasks[[#This Row],[_IsLeaf]]=1),Tasks[[#This Row],[_Res3Row]]=0),0,N(Tasks[[#This Row],[_Days]])*HoursPerDay*IF(Tasks[[#This Row],[_Res3Units]]="",DefaultUnits,Tasks[[#This Row],[_Res3Units]]))</f>
        <v>0</v>
      </c>
      <c r="DX27" s="42" t="n">
        <f aca="false">IF(AND(AND(Tasks[[#This Row],[_IsLeaf]]=1,Tasks[[#This Row],[_LeafTotalWork]]&gt;0),Tasks[[#This Row],[_Res3Work]]&gt;0),Tasks[[#This Row],[_Res3Work]]/(Tasks[[#This Row],[_FinishWorkday]]-Tasks[[#This Row],[_StartWorkday]]+1),0)</f>
        <v>0</v>
      </c>
      <c r="DY27" s="42" t="n">
        <f aca="false">Tasks[[#This Row],[_Res3WorkPerWD]]*MAX(0,Tasks[[#This Row],[_StartWorkday]]-1)</f>
        <v>0</v>
      </c>
      <c r="DZ27" s="42" t="n">
        <f aca="false">Tasks[[#This Row],[_Res3Work]]*Tasks[[#This Row],[_LeafProgress]]</f>
        <v>0</v>
      </c>
      <c r="EA27" s="42" t="str">
        <f aca="false">IF(Tasks[[#This Row],[_Res4Text]]="","",IF(Tasks[[#This Row],[_Res4Row]]&gt;0,INDEX(res_Name,Tasks[[#This Row],[_Res4Row]]),TRIM(LEFT(Tasks[[#This Row],[_Res4Text]],FIND("[",Tasks[[#This Row],[_Res4Text]]&amp;"[")-1))))</f>
        <v/>
      </c>
      <c r="EB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7" s="42" t="n">
        <f aca="false">IF(OR(NOT(Tasks[[#This Row],[_IsLeaf]]=1),Tasks[[#This Row],[_Res4Row]]=0),0,N(Tasks[[#This Row],[_Days]])*HoursPerDay*IF(Tasks[[#This Row],[_Res4Units]]="",DefaultUnits,Tasks[[#This Row],[_Res4Units]]))</f>
        <v>0</v>
      </c>
      <c r="ED27" s="42" t="n">
        <f aca="false">IF(AND(AND(Tasks[[#This Row],[_IsLeaf]]=1,Tasks[[#This Row],[_LeafTotalWork]]&gt;0),Tasks[[#This Row],[_Res4Work]]&gt;0),Tasks[[#This Row],[_Res4Work]]/(Tasks[[#This Row],[_FinishWorkday]]-Tasks[[#This Row],[_StartWorkday]]+1),0)</f>
        <v>0</v>
      </c>
      <c r="EE27" s="42" t="n">
        <f aca="false">Tasks[[#This Row],[_Res4WorkPerWD]]*MAX(0,Tasks[[#This Row],[_StartWorkday]]-1)</f>
        <v>0</v>
      </c>
      <c r="EF27" s="42" t="n">
        <f aca="false">Tasks[[#This Row],[_Res4Work]]*Tasks[[#This Row],[_LeafProgress]]</f>
        <v>0</v>
      </c>
      <c r="EG27" s="42" t="n">
        <f aca="false">IF(ISNUMBER(Tasks[[#This Row],[% Complete]]),Tasks[[#This Row],[% Complete]],IF(Tasks[[#This Row],[Stage]]="",0,IFERROR(INDEX(stg_Pct,MATCH(Tasks[[#This Row],[Stage]],stg_Name,0)),0)))</f>
        <v>0</v>
      </c>
      <c r="EH27" s="42" t="n">
        <f aca="false">IF(NOT(Tasks[[#This Row],[_IsLeaf]]=1),0,IF(N(Tasks[[#This Row],[Actual Finish]])&gt;0,1,MIN(1,Tasks[[#This Row],[_Pct]])))</f>
        <v>0</v>
      </c>
      <c r="EI27" s="42" t="n">
        <f aca="false">IF(OR(NOT(Tasks[[#This Row],[_IsLeaf]]=1),Tasks[[#This Row],[_Res1Row]]=0),0,N(Tasks[[#This Row],[_Days]])*HoursPerDay*IF(Tasks[[#This Row],[_Units1]]="",DefaultUnits,Tasks[[#This Row],[_Units1]]))</f>
        <v>0</v>
      </c>
      <c r="EJ27" s="42" t="n">
        <f aca="false">Tasks[[#This Row],[_LeafWork]]+Tasks[[#This Row],[_Res2Work]]+Tasks[[#This Row],[_Res3Work]]+Tasks[[#This Row],[_Res4Work]]</f>
        <v>0</v>
      </c>
      <c r="EK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7" s="42" t="n">
        <f aca="false">IF(NOT(Tasks[[#This Row],[_IsLeaf]]=1),0,MAX(_xlfn.MAXIFS(Tasks[_Row],Tasks[_Pred1UID],Tasks[[#This Row],[UID]]),_xlfn.MAXIFS(Tasks[_Row],Tasks[_Pred2UID],Tasks[[#This Row],[UID]]),_xlfn.MAXIFS(Tasks[_Row],Tasks[_Pred3UID],Tasks[[#This Row],[UID]]),_xlfn.MAXIFS(Tasks[_Row],Tasks[_Pred4UID],Tasks[[#This Row],[UID]])))</f>
        <v>0</v>
      </c>
      <c r="ET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7" s="89" t="str">
        <f aca="false">IF(NOT(Tasks[[#This Row],[_IsLeaf]]=1),"",IF(N(Tasks[[#This Row],[_Days]])&lt;=0,Tasks[[#This Row],[_LeafLateFinish]],WORKDAY.INTL(Tasks[[#This Row],[_LeafLateFinish]],-(Tasks[[#This Row],[_Days]]-1),WorkWeek,Holidays)))</f>
        <v/>
      </c>
      <c r="EW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7" s="88" t="b">
        <f aca="false">AND(Tasks[[#This Row],[_IsLeaf]]=1,Tasks[[#This Row],[_LeafProgress]]&lt;1,N(Tasks[[#This Row],[_LeafTotalSlack]])&lt;=CriticalSlackDays)</f>
        <v>0</v>
      </c>
      <c r="EY27" s="42" t="n">
        <f aca="false">IF(AND(Tasks[[#This Row],[_IsLeaf]]=1,Tasks[[#This Row],[_ConstraintCode]]=1,Tasks[[#This Row],[Mode]]&lt;&gt;"Manual",N(Tasks[[#This Row],[Actual Start]])=0),MAX(0,N(Tasks[[#This Row],[Free Slack]])),0)</f>
        <v>0</v>
      </c>
      <c r="EZ27" s="89" t="str">
        <f aca="false">IF(NOT(Tasks[[#This Row],[_IsLeaf]]=1),"",IF(Tasks[[#This Row],[_AlapShift]]=0,Tasks[[#This Row],[_LeafCalcStart]],WORKDAY.INTL(Tasks[[#This Row],[_LeafCalcStart]],Tasks[[#This Row],[_AlapShift]],WorkWeek,Holidays)))</f>
        <v/>
      </c>
      <c r="FA27" s="89" t="str">
        <f aca="false">IF(NOT(Tasks[[#This Row],[_IsLeaf]]=1),"",IF(Tasks[[#This Row],[_AlapShift]]=0,Tasks[[#This Row],[_LeafCalcFinish]],WORKDAY.INTL(Tasks[[#This Row],[_LeafCalcFinish]],Tasks[[#This Row],[_AlapShift]],WorkWeek,Holidays)))</f>
        <v/>
      </c>
      <c r="FB27" s="89" t="str">
        <f aca="false">IF(NOT(Tasks[[#This Row],[_IsLeaf]]=1),"",IF(Tasks[[#This Row],[_AlapShift]]=0,Tasks[[#This Row],[_LeafFcstStart]],WORKDAY.INTL(Tasks[[#This Row],[_LeafFcstStart]],Tasks[[#This Row],[_AlapShift]],WorkWeek,Holidays)))</f>
        <v/>
      </c>
      <c r="FC27" s="89" t="str">
        <f aca="false">IF(NOT(Tasks[[#This Row],[_IsLeaf]]=1),"",IF(Tasks[[#This Row],[_AlapShift]]=0,Tasks[[#This Row],[_LeafFcstFinish]],WORKDAY.INTL(Tasks[[#This Row],[_LeafFcstFinish]],Tasks[[#This Row],[_AlapShift]],WorkWeek,Holidays)))</f>
        <v/>
      </c>
      <c r="FD27" s="89" t="str">
        <f aca="false">IF(Tasks[[#This Row],[Task Name]]="","",IF(Tasks[[#This Row],[_IsSummary]],MIN(INDEX(Tasks[_ShownCalcStart],Tasks[[#This Row],[_Row]]+1):INDEX(Tasks[_ShownCalcStart],Tasks[[#This Row],[_Row]]+Tasks[[#This Row],[_Descendants]])),Tasks[[#This Row],[_ShownCalcStart]]))</f>
        <v/>
      </c>
      <c r="FE27" s="89" t="str">
        <f aca="false">IF(Tasks[[#This Row],[Task Name]]="","",IF(Tasks[[#This Row],[_IsSummary]],MAX(INDEX(Tasks[_ShownCalcFinish],Tasks[[#This Row],[_Row]]+1):INDEX(Tasks[_ShownCalcFinish],Tasks[[#This Row],[_Row]]+Tasks[[#This Row],[_Descendants]])),Tasks[[#This Row],[_ShownCalcFinish]]))</f>
        <v/>
      </c>
      <c r="FF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7" s="42" t="n">
        <f aca="false">IF(AND(Tasks[[#This Row],[_IsLeaf]]=1,Tasks[[#This Row],[_LeafTotalWork]]&gt;0),NETWORKDAYS.INTL(ProjectStart,Tasks[[#This Row],[_ShownFcstStart]],WorkWeek,Holidays),0)</f>
        <v>0</v>
      </c>
      <c r="FS27" s="42" t="n">
        <f aca="false">IF(AND(Tasks[[#This Row],[_IsLeaf]]=1,Tasks[[#This Row],[_LeafTotalWork]]&gt;0),MAX(Tasks[[#This Row],[_StartWorkday]],NETWORKDAYS.INTL(ProjectStart,Tasks[[#This Row],[_ShownFcstFinish]],WorkWeek,Holidays)),0)</f>
        <v>0</v>
      </c>
      <c r="FT27" s="42" t="n">
        <f aca="false">IF(AND(Tasks[[#This Row],[_IsLeaf]]=1,Tasks[[#This Row],[_LeafTotalWork]]&gt;0),Tasks[[#This Row],[_LeafWork]]/(Tasks[[#This Row],[_FinishWorkday]]-Tasks[[#This Row],[_StartWorkday]]+1),0)</f>
        <v>0</v>
      </c>
      <c r="FU27" s="42" t="n">
        <f aca="false">Tasks[[#This Row],[_WorkPerWorkday]]*(Tasks[[#This Row],[_StartWorkday]]-1)</f>
        <v>-0</v>
      </c>
      <c r="FV27" s="42" t="n">
        <f aca="false">IF(Tasks[[#This Row],[_IsLeaf]]=1,MAX(N(Tasks[[#This Row],[_Days]]),0.1),0)</f>
        <v>0</v>
      </c>
      <c r="FW27" s="42" t="n">
        <f aca="false">Tasks[[#This Row],[_WeightDur]]*Tasks[[#This Row],[_LeafProgress]]</f>
        <v>0</v>
      </c>
      <c r="FX27" s="42" t="n">
        <f aca="false">Tasks[[#This Row],[_WeightDur]]*Tasks[[#This Row],[_PlannedPct]]</f>
        <v>0</v>
      </c>
      <c r="FY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7" s="42" t="str">
        <f aca="false">IF(AND(Tasks[[#This Row],[_IsLeaf]]=1,N(Tasks[[#This Row],[_Days]])=0,Tasks[[#This Row],[_LeafProgress]]&lt;1),Tasks[[#This Row],[_ShownFcstFinish]]+Tasks[[#This Row],[_Row]]/100000,"")</f>
        <v/>
      </c>
      <c r="GA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7" s="42" t="str">
        <f aca="false">IF(Tasks[[#This Row],[Task Name]]="","",LEFT(Tasks[[#This Row],[WBS]],FIND(".",Tasks[[#This Row],[WBS]]&amp;".")-1))</f>
        <v/>
      </c>
      <c r="GC27" s="42" t="str">
        <f aca="false">IF(AND(Tasks[[#This Row],[Task Name]]&lt;&gt;"",Tasks[[#This Row],[_Level]]=1),Tasks[[#This Row],[_Row]],"")</f>
        <v/>
      </c>
      <c r="GD27" s="42" t="str">
        <f aca="false">IF(AND(Tasks[[#This Row],[_IsLeaf]]=1,N(Tasks[[#This Row],[_Days]])=0),Tasks[[#This Row],[Planned Finish]]+Tasks[[#This Row],[_Row]]/100000,"")</f>
        <v/>
      </c>
      <c r="GE27" s="42" t="str">
        <f aca="false">IF(AND(Tasks[[#This Row],[_IsLeaf]]=1,Tasks[[#This Row],[_LeafProgress]]&lt;1,OR(N(Tasks[[#This Row],[Finish Var]])&gt;0,Tasks[[#This Row],[Status]]="Late Start")),MAX(0,Tasks[[#This Row],[Finish Var]])+1-Tasks[[#This Row],[_Row]]/1000000,"")</f>
        <v/>
      </c>
      <c r="GF27" s="42" t="str">
        <f aca="false">IF(AND(Tasks[[#This Row],[_IsLeaf]]=1,N(Tasks[[#This Row],[Actual Start]])=0,Tasks[[#This Row],[_ShownFcstStart]]&gt;=StatusDate,Tasks[[#This Row],[_ShownFcstStart]]&lt;=LookaheadEnd),Tasks[[#This Row],[_ShownFcstStart]]+Tasks[[#This Row],[_Row]]/100000,"")</f>
        <v/>
      </c>
      <c r="GG27" s="42" t="str">
        <f aca="false">IF(AND(Tasks[[#This Row],[_IsLeaf]]=1,Tasks[[#This Row],[_LeafProgress]]&lt;1,Tasks[[#This Row],[_ShownFcstFinish]]&gt;=StatusDate,Tasks[[#This Row],[_ShownFcstFinish]]&lt;=LookaheadEnd),Tasks[[#This Row],[_ShownFcstFinish]]+Tasks[[#This Row],[_Row]]/100000,"")</f>
        <v/>
      </c>
      <c r="GH27" s="42" t="str">
        <f aca="false">IF(Tasks[[#This Row],[_LeafCritical]],Tasks[[#This Row],[_ShownFcstStart]]+Tasks[[#This Row],[_Row]]/100000,"")</f>
        <v/>
      </c>
      <c r="GI27" s="42" t="n">
        <f aca="false">Tasks[[#This Row],[_LeafWork]]*Tasks[[#This Row],[_LeafProgress]]</f>
        <v>0</v>
      </c>
      <c r="GJ27" s="89" t="str">
        <f aca="false">IF(AND(Tasks[[#This Row],[_IsLeaf]]=1,Tasks[[#This Row],[_LeafProgress]]&gt;=1),IF(N(Tasks[[#This Row],[Actual Finish]])&gt;0,Tasks[[#This Row],[Actual Finish]],Tasks[[#This Row],[_ShownFcstFinish]]),"")</f>
        <v/>
      </c>
      <c r="GK27" s="42" t="n">
        <f aca="false">IF(Tasks[[#This Row],[_IsLeaf]]=1,N(Tasks[[#This Row],[Story Points]]),0)</f>
        <v>0</v>
      </c>
      <c r="GL27" s="42" t="str">
        <f aca="false">""</f>
        <v/>
      </c>
      <c r="GM27" s="88" t="b">
        <f aca="false">IF(Tasks[[#This Row],[Task Name]]="",FALSE(),AND(Tasks[[#This Row],[_IsLeaf]]=1,N(Tasks[[#This Row],[_Days]])=0))</f>
        <v>0</v>
      </c>
      <c r="GN27" s="89" t="n">
        <f aca="false">IF(Tasks[[#This Row],[Task Name]]="",0,IF(AND(Tasks[[#This Row],[_IsLeaf]]=1,NOT(Tasks[[#This Row],[_IsMilestone]]),N(Tasks[[#This Row],[Progress]])&gt;0),Tasks[[#This Row],[Start]],0))</f>
        <v>0</v>
      </c>
      <c r="GO27" s="89" t="n">
        <f aca="false">IF(Tasks[[#This Row],[_DoneFrom]]=0,0,IF(Tasks[[#This Row],[Progress]]&gt;=1,Tasks[[#This Row],[Finish]],MAX(Tasks[[#This Row],[_DoneFrom]],Tasks[[#This Row],[Start]]+ROUND((Tasks[[#This Row],[Finish]]-Tasks[[#This Row],[Start]]+1)*Tasks[[#This Row],[Progress]],0)-1)))</f>
        <v>0</v>
      </c>
      <c r="GP27" s="89" t="n">
        <f aca="false">IF(Tasks[[#This Row],[Task Name]]="",0,IF(OR(NOT(Tasks[[#This Row],[_IsLeaf]]=1),Tasks[[#This Row],[_IsMilestone]],N(Tasks[[#This Row],[Progress]])&gt;=1),0,IF(Tasks[[#This Row],[_DoneTo]]&gt;0,Tasks[[#This Row],[_DoneTo]]+1,Tasks[[#This Row],[Start]])))</f>
        <v>0</v>
      </c>
      <c r="GQ27" s="89" t="n">
        <f aca="false">IF(Tasks[[#This Row],[_RemFrom]]=0,0,Tasks[[#This Row],[Finish]])</f>
        <v>0</v>
      </c>
      <c r="GR27" s="88" t="b">
        <f aca="false">IF(Tasks[[#This Row],[Task Name]]="",FALSE(),OR(NOT(BaselineSet),N(Tasks[[#This Row],[Baseline Start]])&gt;0))</f>
        <v>0</v>
      </c>
      <c r="GS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7" s="90" t="str">
        <f aca="false">IF(Tasks[[#This Row],[_IsLeaf]]=1,Tasks[[#This Row],[_Row]],"")</f>
        <v/>
      </c>
      <c r="GW27" s="90" t="str">
        <f aca="false">IFERROR(INDEX(Tasks[UID],SMALL(Tasks[_PickKey],Tasks[[#This Row],[_Row]]))&amp;" "&amp;INDEX(Tasks[Task Name],SMALL(Tasks[_PickKey],Tasks[[#This Row],[_Row]])),"")</f>
        <v/>
      </c>
      <c r="GX27" s="42" t="str">
        <f aca="false">IF(Tasks[[#This Row],[Task Name]]="","",IF(Tasks[[#This Row],[_IsSummary]],NETWORKDAYS.INTL(Tasks[[#This Row],[Start]],Tasks[[#This Row],[Finish]],WorkWeek,Holidays),N(Tasks[[#This Row],[_Days]])))</f>
        <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3"/>
      <c r="U28" s="23"/>
      <c r="V28" s="83"/>
      <c r="W28" s="23"/>
      <c r="X28" s="83"/>
      <c r="Y28" s="23"/>
      <c r="Z28" s="83"/>
      <c r="AA28" s="23"/>
      <c r="AB28" s="23"/>
      <c r="AC28" s="7"/>
      <c r="AD28" s="7"/>
      <c r="AE28" s="62" t="str">
        <f aca="false">IF(Tasks[[#This Row],[Task Name]]="","",IF(Tasks[[#This Row],[_IsSummary]],MIN(INDEX(Tasks[_ShownFcstStart],Tasks[[#This Row],[_Row]]+1):INDEX(Tasks[_ShownFcstStart],Tasks[[#This Row],[_Row]]+Tasks[[#This Row],[_Descendants]])),Tasks[[#This Row],[_ShownFcstStart]]))</f>
        <v/>
      </c>
      <c r="AF28" s="62"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8" s="7"/>
      <c r="AK28" s="22"/>
      <c r="AL28" s="23"/>
      <c r="AM28" s="7"/>
      <c r="AN28" s="46"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2" t="str">
        <f aca="false">IF(Tasks[[#This Row],[Task Name]]="","",IF(N(Tasks[[#This Row],[Baseline Start]])&gt;0,Tasks[[#This Row],[Baseline Start]],Tasks[[#This Row],[_CalcStart]]))</f>
        <v/>
      </c>
      <c r="AR28" s="62" t="str">
        <f aca="false">IF(Tasks[[#This Row],[Task Name]]="","",IF(N(Tasks[[#This Row],[Baseline Finish]])&gt;0,Tasks[[#This Row],[Baseline Finish]],Tasks[[#This Row],[_CalcFinish]]))</f>
        <v/>
      </c>
      <c r="AS28" s="46" t="str">
        <f aca="false">IF(Tasks[[#This Row],[Task Name]]="","",IF(Tasks[[#This Row],[Start]]&gt;=Tasks[[#This Row],[Planned Start]],NETWORKDAYS.INTL(Tasks[[#This Row],[Planned Start]],Tasks[[#This Row],[Start]],WorkWeek,Holidays)-1,1-NETWORKDAYS.INTL(Tasks[[#This Row],[Start]],Tasks[[#This Row],[Planned Start]],WorkWeek,Holidays)))</f>
        <v/>
      </c>
      <c r="AT28" s="62" t="str">
        <f aca="false">IF(Tasks[[#This Row],[Task Name]]="","",IF(Tasks[[#This Row],[_IsSummary]],MIN(INDEX(Tasks[_LeafLateStart],Tasks[[#This Row],[_Row]]+1):INDEX(Tasks[_LeafLateStart],Tasks[[#This Row],[_Row]]+Tasks[[#This Row],[_Descendants]])),Tasks[[#This Row],[_LeafLateStart]]))</f>
        <v/>
      </c>
      <c r="AU28" s="62" t="str">
        <f aca="false">IF(Tasks[[#This Row],[Task Name]]="","",IF(Tasks[[#This Row],[_IsSummary]],MAX(INDEX(Tasks[_LeafLateFinish],Tasks[[#This Row],[_Row]]+1):INDEX(Tasks[_LeafLateFinish],Tasks[[#This Row],[_Row]]+Tasks[[#This Row],[_Descendants]])),Tasks[[#This Row],[_LeafLateFinish]]))</f>
        <v/>
      </c>
      <c r="AV28" s="46"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4"/>
      <c r="BA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5"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6"/>
      <c r="BJ28" s="22"/>
      <c r="BK28" s="46" t="str">
        <f aca="false">IF(OR(Tasks[[#This Row],[Task Name]]="",Tasks[[#This Row],[Baseline Duration]]=""),"",Tasks[[#This Row],[_SpanDays]]-N(Tasks[[#This Row],[Baseline Duration]]))</f>
        <v/>
      </c>
      <c r="BL28" s="85" t="str">
        <f aca="false">IF(OR(Tasks[[#This Row],[Task Name]]="",Tasks[[#This Row],[Baseline Work]]=""),"",Tasks[[#This Row],[Work]]-N(Tasks[[#This Row],[Baseline Work]]))</f>
        <v/>
      </c>
      <c r="BM28" s="62" t="str">
        <f aca="false">IF(Tasks[[#This Row],[Task Name]]="","",IF(OR(TakeBaseline="Yes",N(Tasks[[#This Row],[Baseline Start]])=0),Tasks[[#This Row],[Start]],Tasks[[#This Row],[Baseline Start]]))</f>
        <v/>
      </c>
      <c r="BN28" s="62"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5" t="str">
        <f aca="false">IF(Tasks[[#This Row],[Task Name]]="","",IF(OR(TakeBaseline="Yes",N(Tasks[[#This Row],[Baseline Work]])=0),Tasks[[#This Row],[Work]],Tasks[[#This Row],[Baseline Work]]))</f>
        <v/>
      </c>
      <c r="BQ28" s="7"/>
      <c r="BR28" s="7"/>
      <c r="BS28" s="22"/>
      <c r="BT28" s="87"/>
      <c r="BU28" s="42" t="str">
        <f aca="false">IF(Tasks[[#This Row],[Task Name]]="","",MAX(1,N(Tasks[[#This Row],[Level]])))</f>
        <v/>
      </c>
      <c r="BV28" s="42" t="n">
        <f aca="false">ROW()-ROW(Tasks[[#Headers],[ID]])</f>
        <v>23</v>
      </c>
      <c r="BW28" s="42" t="n">
        <f aca="false">IF(OR(Tasks[[#This Row],[Task Name]]="",Tasks[[#This Row],[_Level]]&lt;=1),0,IFERROR(LOOKUP(2,1/(Tasks[[#Headers],[_Level]]:Tasks[[#This Row],[_Level]]=Tasks[[#This Row],[_Level]]-1),ROW(Tasks[[#Headers],[_Level]]:Tasks[[#This Row],[_Level]])),0))</f>
        <v>0</v>
      </c>
      <c r="BX28" s="42" t="n">
        <f aca="false">IFERROR(N(INDEX(Tasks[_Level],Tasks[[#This Row],[_Row]]+1)),0)</f>
        <v>0</v>
      </c>
      <c r="BY28" s="88" t="b">
        <f aca="false">AND(Tasks[[#This Row],[Task Name]]&lt;&gt;"",Tasks[[#This Row],[_NextLevel]]&gt;Tasks[[#This Row],[_Level]])</f>
        <v>0</v>
      </c>
      <c r="BZ28" s="42" t="n">
        <f aca="false">IF(Tasks[[#This Row],[_IsSummary]],COUNTIF(Tasks[WBS],Tasks[[#This Row],[WBS]]&amp;".*"),0)</f>
        <v>0</v>
      </c>
      <c r="CA28" s="42" t="n">
        <f aca="false">IF(AND(Tasks[[#This Row],[Task Name]]&lt;&gt;"",NOT(Tasks[[#This Row],[_IsSummary]])),1,0)</f>
        <v>0</v>
      </c>
      <c r="CB28" s="42" t="n">
        <f aca="false">IF(N(Tasks[[#This Row],[_Pred1UID]])=0,0,IFERROR(MATCH(Tasks[[#This Row],[_Pred1UID]],Tasks[UID],0),-1))</f>
        <v>0</v>
      </c>
      <c r="CC28" s="42" t="n">
        <f aca="false">IF(N(Tasks[[#This Row],[_Pred2UID]])=0,0,IFERROR(MATCH(Tasks[[#This Row],[_Pred2UID]],Tasks[UID],0),-1))</f>
        <v>0</v>
      </c>
      <c r="CD28" s="42" t="n">
        <f aca="false">IF(N(Tasks[[#This Row],[_Pred3UID]])=0,0,IFERROR(MATCH(Tasks[[#This Row],[_Pred3UID]],Tasks[UID],0),-1))</f>
        <v>0</v>
      </c>
      <c r="CE28" s="42" t="n">
        <f aca="false">IF(N(Tasks[[#This Row],[_Pred4UID]])=0,0,IFERROR(MATCH(Tasks[[#This Row],[_Pred4UID]],Tasks[UID],0),-1))</f>
        <v>0</v>
      </c>
      <c r="CF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8" s="89" t="n">
        <f aca="false">IF(OR(Tasks[[#This Row],[_ConstraintCode]]=2,Tasks[[#This Row],[_ConstraintCode]]=3,Tasks[[#This Row],[_ConstraintCode]]=4,Tasks[[#This Row],[_ConstraintCode]]=6),Tasks[[#This Row],[_ConstraintStart]],0)</f>
        <v>0</v>
      </c>
      <c r="CI28" s="89" t="n">
        <f aca="false">IF(OR(Tasks[[#This Row],[_ConstraintCode]]=2,Tasks[[#This Row],[_ConstraintCode]]=3,Tasks[[#This Row],[_ConstraintCode]]=5,Tasks[[#This Row],[_ConstraintCode]]=7),Tasks[[#This Row],[_ConstraintStart]],2958465)</f>
        <v>2958465</v>
      </c>
      <c r="CJ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8" s="89" t="str">
        <f aca="false">IF(NOT(Tasks[[#This Row],[_IsLeaf]]=1),"",IF(N(Tasks[[#This Row],[_Days]])&lt;=0,Tasks[[#This Row],[_LeafCalcStart]],WORKDAY.INTL(Tasks[[#This Row],[_LeafCalcStart]],Tasks[[#This Row],[_Days]]-1,WorkWeek,Holidays)))</f>
        <v/>
      </c>
      <c r="CL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8" s="42" t="str">
        <f aca="false">IF(Tasks[[#This Row],[_Predecessors]]="","",TRIM(MID(SUBSTITUTE(SUBSTITUTE(SUBSTITUTE(UPPER(Tasks[[#This Row],[_Predecessors]]),";",",")," ",""),",",REPT(" ",99)),1,99)))</f>
        <v/>
      </c>
      <c r="CO28" s="42" t="str">
        <f aca="false">IF(Tasks[[#This Row],[_Pred1Text]]="","",IFERROR(VALUE(LEFT(Tasks[[#This Row],[_Pred1Text]],MIN(FIND("F",Tasks[[#This Row],[_Pred1Text]]&amp;"F"),FIND("S",Tasks[[#This Row],[_Pred1Text]]&amp;"S"),FIND("+",Tasks[[#This Row],[_Pred1Text]]&amp;"+"),FIND("-",Tasks[[#This Row],[_Pred1Text]]&amp;"-"))-1)),""))</f>
        <v/>
      </c>
      <c r="CP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8" s="42" t="str">
        <f aca="false">IF(Tasks[[#This Row],[_Pred1Text]]="","",TRIM(MID(SUBSTITUTE(SUBSTITUTE(SUBSTITUTE(UPPER(Tasks[[#This Row],[_Predecessors]]),";",",")," ",""),",",REPT(" ",99)),100,99)))</f>
        <v/>
      </c>
      <c r="CS28" s="42" t="str">
        <f aca="false">IF(Tasks[[#This Row],[_Pred2Text]]="","",IFERROR(VALUE(LEFT(Tasks[[#This Row],[_Pred2Text]],MIN(FIND("F",Tasks[[#This Row],[_Pred2Text]]&amp;"F"),FIND("S",Tasks[[#This Row],[_Pred2Text]]&amp;"S"),FIND("+",Tasks[[#This Row],[_Pred2Text]]&amp;"+"),FIND("-",Tasks[[#This Row],[_Pred2Text]]&amp;"-"))-1)),""))</f>
        <v/>
      </c>
      <c r="CT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8" s="42" t="str">
        <f aca="false">IF(Tasks[[#This Row],[_Pred2Text]]="","",TRIM(MID(SUBSTITUTE(SUBSTITUTE(SUBSTITUTE(UPPER(Tasks[[#This Row],[_Predecessors]]),";",",")," ",""),",",REPT(" ",99)),199,99)))</f>
        <v/>
      </c>
      <c r="CW28" s="42" t="str">
        <f aca="false">IF(Tasks[[#This Row],[_Pred3Text]]="","",IFERROR(VALUE(LEFT(Tasks[[#This Row],[_Pred3Text]],MIN(FIND("F",Tasks[[#This Row],[_Pred3Text]]&amp;"F"),FIND("S",Tasks[[#This Row],[_Pred3Text]]&amp;"S"),FIND("+",Tasks[[#This Row],[_Pred3Text]]&amp;"+"),FIND("-",Tasks[[#This Row],[_Pred3Text]]&amp;"-"))-1)),""))</f>
        <v/>
      </c>
      <c r="CX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8" s="42" t="str">
        <f aca="false">IF(Tasks[[#This Row],[_Pred3Text]]="","",TRIM(MID(SUBSTITUTE(SUBSTITUTE(SUBSTITUTE(UPPER(Tasks[[#This Row],[_Predecessors]]),";",",")," ",""),",",REPT(" ",99)),298,99)))</f>
        <v/>
      </c>
      <c r="DA28" s="42" t="str">
        <f aca="false">IF(Tasks[[#This Row],[_Pred4Text]]="","",IFERROR(VALUE(LEFT(Tasks[[#This Row],[_Pred4Text]],MIN(FIND("F",Tasks[[#This Row],[_Pred4Text]]&amp;"F"),FIND("S",Tasks[[#This Row],[_Pred4Text]]&amp;"S"),FIND("+",Tasks[[#This Row],[_Pred4Text]]&amp;"+"),FIND("-",Tasks[[#This Row],[_Pred4Text]]&amp;"-"))-1)),""))</f>
        <v/>
      </c>
      <c r="DB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8" s="42" t="str">
        <f aca="false">IF(OR(Tasks[[#This Row],[Task Name]]="",Tasks[[#This Row],[_Resources]]=""),"",TRIM(MID(SUBSTITUTE(Tasks[[#This Row],[_Resources]],",",REPT(" ",99)),1,99)))</f>
        <v/>
      </c>
      <c r="DE28" s="42" t="str">
        <f aca="false">IF(Tasks[[#This Row],[_Res1Text]]="","",TRIM(MID(SUBSTITUTE(Tasks[[#This Row],[_Resources]],",",REPT(" ",99)),100,99)))</f>
        <v/>
      </c>
      <c r="DF28" s="42" t="str">
        <f aca="false">IF(Tasks[[#This Row],[_Res2Text]]="","",TRIM(MID(SUBSTITUTE(Tasks[[#This Row],[_Resources]],",",REPT(" ",99)),199,99)))</f>
        <v/>
      </c>
      <c r="DG28" s="42" t="str">
        <f aca="false">IF(Tasks[[#This Row],[_Res3Text]]="","",TRIM(MID(SUBSTITUTE(Tasks[[#This Row],[_Resources]],",",REPT(" ",99)),298,99)))</f>
        <v/>
      </c>
      <c r="DH28" s="42" t="n">
        <f aca="false">IF(Tasks[[#This Row],[_Res1Text]]="",0,IFERROR(MATCH(TRIM(LEFT(Tasks[[#This Row],[_Res1Text]],FIND("[",Tasks[[#This Row],[_Res1Text]]&amp;"[")-1)),res_Name,0),IFERROR(MATCH(TRIM(LEFT(Tasks[[#This Row],[_Res1Text]],FIND("[",Tasks[[#This Row],[_Res1Text]]&amp;"[")-1)),res_Initials,0),0)))</f>
        <v>0</v>
      </c>
      <c r="DI28" s="42" t="n">
        <f aca="false">IF(Tasks[[#This Row],[_Res2Text]]="",0,IFERROR(MATCH(TRIM(LEFT(Tasks[[#This Row],[_Res2Text]],FIND("[",Tasks[[#This Row],[_Res2Text]]&amp;"[")-1)),res_Name,0),IFERROR(MATCH(TRIM(LEFT(Tasks[[#This Row],[_Res2Text]],FIND("[",Tasks[[#This Row],[_Res2Text]]&amp;"[")-1)),res_Initials,0),0)))</f>
        <v>0</v>
      </c>
      <c r="DJ28" s="42" t="n">
        <f aca="false">IF(Tasks[[#This Row],[_Res3Text]]="",0,IFERROR(MATCH(TRIM(LEFT(Tasks[[#This Row],[_Res3Text]],FIND("[",Tasks[[#This Row],[_Res3Text]]&amp;"[")-1)),res_Name,0),IFERROR(MATCH(TRIM(LEFT(Tasks[[#This Row],[_Res3Text]],FIND("[",Tasks[[#This Row],[_Res3Text]]&amp;"[")-1)),res_Initials,0),0)))</f>
        <v>0</v>
      </c>
      <c r="DK28" s="42" t="n">
        <f aca="false">IF(Tasks[[#This Row],[_Res4Text]]="",0,IFERROR(MATCH(TRIM(LEFT(Tasks[[#This Row],[_Res4Text]],FIND("[",Tasks[[#This Row],[_Res4Text]]&amp;"[")-1)),res_Name,0),IFERROR(MATCH(TRIM(LEFT(Tasks[[#This Row],[_Res4Text]],FIND("[",Tasks[[#This Row],[_Res4Text]]&amp;"[")-1)),res_Initials,0),0)))</f>
        <v>0</v>
      </c>
      <c r="DL28" s="42" t="str">
        <f aca="false">IF(Tasks[[#This Row],[_Res1Text]]="","",IF(Tasks[[#This Row],[_Res1Row]]&gt;0,INDEX(res_Name,Tasks[[#This Row],[_Res1Row]]),TRIM(LEFT(Tasks[[#This Row],[_Res1Text]],FIND("[",Tasks[[#This Row],[_Res1Text]]&amp;"[")-1))))</f>
        <v/>
      </c>
      <c r="DM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8" s="42" t="n">
        <f aca="false">IF(NOT(Tasks[[#This Row],[_IsLeaf]]=1),0,(Tasks[[#This Row],[_Resource1]]&lt;&gt;"")+(Tasks[[#This Row],[_Res2]]&lt;&gt;"")+(Tasks[[#This Row],[_Res3]]&lt;&gt;"")+(Tasks[[#This Row],[_Res4]]&lt;&gt;""))</f>
        <v>0</v>
      </c>
      <c r="DO28" s="42" t="str">
        <f aca="false">IF(Tasks[[#This Row],[_Res2Text]]="","",IF(Tasks[[#This Row],[_Res2Row]]&gt;0,INDEX(res_Name,Tasks[[#This Row],[_Res2Row]]),TRIM(LEFT(Tasks[[#This Row],[_Res2Text]],FIND("[",Tasks[[#This Row],[_Res2Text]]&amp;"[")-1))))</f>
        <v/>
      </c>
      <c r="DP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8" s="42" t="n">
        <f aca="false">IF(OR(NOT(Tasks[[#This Row],[_IsLeaf]]=1),Tasks[[#This Row],[_Res2Row]]=0),0,N(Tasks[[#This Row],[_Days]])*HoursPerDay*IF(Tasks[[#This Row],[_Res2Units]]="",DefaultUnits,Tasks[[#This Row],[_Res2Units]]))</f>
        <v>0</v>
      </c>
      <c r="DR28" s="42" t="n">
        <f aca="false">IF(AND(AND(Tasks[[#This Row],[_IsLeaf]]=1,Tasks[[#This Row],[_LeafTotalWork]]&gt;0),Tasks[[#This Row],[_Res2Work]]&gt;0),Tasks[[#This Row],[_Res2Work]]/(Tasks[[#This Row],[_FinishWorkday]]-Tasks[[#This Row],[_StartWorkday]]+1),0)</f>
        <v>0</v>
      </c>
      <c r="DS28" s="42" t="n">
        <f aca="false">Tasks[[#This Row],[_Res2WorkPerWD]]*MAX(0,Tasks[[#This Row],[_StartWorkday]]-1)</f>
        <v>0</v>
      </c>
      <c r="DT28" s="42" t="n">
        <f aca="false">Tasks[[#This Row],[_Res2Work]]*Tasks[[#This Row],[_LeafProgress]]</f>
        <v>0</v>
      </c>
      <c r="DU28" s="42" t="str">
        <f aca="false">IF(Tasks[[#This Row],[_Res3Text]]="","",IF(Tasks[[#This Row],[_Res3Row]]&gt;0,INDEX(res_Name,Tasks[[#This Row],[_Res3Row]]),TRIM(LEFT(Tasks[[#This Row],[_Res3Text]],FIND("[",Tasks[[#This Row],[_Res3Text]]&amp;"[")-1))))</f>
        <v/>
      </c>
      <c r="DV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8" s="42" t="n">
        <f aca="false">IF(OR(NOT(Tasks[[#This Row],[_IsLeaf]]=1),Tasks[[#This Row],[_Res3Row]]=0),0,N(Tasks[[#This Row],[_Days]])*HoursPerDay*IF(Tasks[[#This Row],[_Res3Units]]="",DefaultUnits,Tasks[[#This Row],[_Res3Units]]))</f>
        <v>0</v>
      </c>
      <c r="DX28" s="42" t="n">
        <f aca="false">IF(AND(AND(Tasks[[#This Row],[_IsLeaf]]=1,Tasks[[#This Row],[_LeafTotalWork]]&gt;0),Tasks[[#This Row],[_Res3Work]]&gt;0),Tasks[[#This Row],[_Res3Work]]/(Tasks[[#This Row],[_FinishWorkday]]-Tasks[[#This Row],[_StartWorkday]]+1),0)</f>
        <v>0</v>
      </c>
      <c r="DY28" s="42" t="n">
        <f aca="false">Tasks[[#This Row],[_Res3WorkPerWD]]*MAX(0,Tasks[[#This Row],[_StartWorkday]]-1)</f>
        <v>0</v>
      </c>
      <c r="DZ28" s="42" t="n">
        <f aca="false">Tasks[[#This Row],[_Res3Work]]*Tasks[[#This Row],[_LeafProgress]]</f>
        <v>0</v>
      </c>
      <c r="EA28" s="42" t="str">
        <f aca="false">IF(Tasks[[#This Row],[_Res4Text]]="","",IF(Tasks[[#This Row],[_Res4Row]]&gt;0,INDEX(res_Name,Tasks[[#This Row],[_Res4Row]]),TRIM(LEFT(Tasks[[#This Row],[_Res4Text]],FIND("[",Tasks[[#This Row],[_Res4Text]]&amp;"[")-1))))</f>
        <v/>
      </c>
      <c r="EB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8" s="42" t="n">
        <f aca="false">IF(OR(NOT(Tasks[[#This Row],[_IsLeaf]]=1),Tasks[[#This Row],[_Res4Row]]=0),0,N(Tasks[[#This Row],[_Days]])*HoursPerDay*IF(Tasks[[#This Row],[_Res4Units]]="",DefaultUnits,Tasks[[#This Row],[_Res4Units]]))</f>
        <v>0</v>
      </c>
      <c r="ED28" s="42" t="n">
        <f aca="false">IF(AND(AND(Tasks[[#This Row],[_IsLeaf]]=1,Tasks[[#This Row],[_LeafTotalWork]]&gt;0),Tasks[[#This Row],[_Res4Work]]&gt;0),Tasks[[#This Row],[_Res4Work]]/(Tasks[[#This Row],[_FinishWorkday]]-Tasks[[#This Row],[_StartWorkday]]+1),0)</f>
        <v>0</v>
      </c>
      <c r="EE28" s="42" t="n">
        <f aca="false">Tasks[[#This Row],[_Res4WorkPerWD]]*MAX(0,Tasks[[#This Row],[_StartWorkday]]-1)</f>
        <v>0</v>
      </c>
      <c r="EF28" s="42" t="n">
        <f aca="false">Tasks[[#This Row],[_Res4Work]]*Tasks[[#This Row],[_LeafProgress]]</f>
        <v>0</v>
      </c>
      <c r="EG28" s="42" t="n">
        <f aca="false">IF(ISNUMBER(Tasks[[#This Row],[% Complete]]),Tasks[[#This Row],[% Complete]],IF(Tasks[[#This Row],[Stage]]="",0,IFERROR(INDEX(stg_Pct,MATCH(Tasks[[#This Row],[Stage]],stg_Name,0)),0)))</f>
        <v>0</v>
      </c>
      <c r="EH28" s="42" t="n">
        <f aca="false">IF(NOT(Tasks[[#This Row],[_IsLeaf]]=1),0,IF(N(Tasks[[#This Row],[Actual Finish]])&gt;0,1,MIN(1,Tasks[[#This Row],[_Pct]])))</f>
        <v>0</v>
      </c>
      <c r="EI28" s="42" t="n">
        <f aca="false">IF(OR(NOT(Tasks[[#This Row],[_IsLeaf]]=1),Tasks[[#This Row],[_Res1Row]]=0),0,N(Tasks[[#This Row],[_Days]])*HoursPerDay*IF(Tasks[[#This Row],[_Units1]]="",DefaultUnits,Tasks[[#This Row],[_Units1]]))</f>
        <v>0</v>
      </c>
      <c r="EJ28" s="42" t="n">
        <f aca="false">Tasks[[#This Row],[_LeafWork]]+Tasks[[#This Row],[_Res2Work]]+Tasks[[#This Row],[_Res3Work]]+Tasks[[#This Row],[_Res4Work]]</f>
        <v>0</v>
      </c>
      <c r="EK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8" s="42" t="n">
        <f aca="false">IF(NOT(Tasks[[#This Row],[_IsLeaf]]=1),0,MAX(_xlfn.MAXIFS(Tasks[_Row],Tasks[_Pred1UID],Tasks[[#This Row],[UID]]),_xlfn.MAXIFS(Tasks[_Row],Tasks[_Pred2UID],Tasks[[#This Row],[UID]]),_xlfn.MAXIFS(Tasks[_Row],Tasks[_Pred3UID],Tasks[[#This Row],[UID]]),_xlfn.MAXIFS(Tasks[_Row],Tasks[_Pred4UID],Tasks[[#This Row],[UID]])))</f>
        <v>0</v>
      </c>
      <c r="ET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8" s="89" t="str">
        <f aca="false">IF(NOT(Tasks[[#This Row],[_IsLeaf]]=1),"",IF(N(Tasks[[#This Row],[_Days]])&lt;=0,Tasks[[#This Row],[_LeafLateFinish]],WORKDAY.INTL(Tasks[[#This Row],[_LeafLateFinish]],-(Tasks[[#This Row],[_Days]]-1),WorkWeek,Holidays)))</f>
        <v/>
      </c>
      <c r="EW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8" s="88" t="b">
        <f aca="false">AND(Tasks[[#This Row],[_IsLeaf]]=1,Tasks[[#This Row],[_LeafProgress]]&lt;1,N(Tasks[[#This Row],[_LeafTotalSlack]])&lt;=CriticalSlackDays)</f>
        <v>0</v>
      </c>
      <c r="EY28" s="42" t="n">
        <f aca="false">IF(AND(Tasks[[#This Row],[_IsLeaf]]=1,Tasks[[#This Row],[_ConstraintCode]]=1,Tasks[[#This Row],[Mode]]&lt;&gt;"Manual",N(Tasks[[#This Row],[Actual Start]])=0),MAX(0,N(Tasks[[#This Row],[Free Slack]])),0)</f>
        <v>0</v>
      </c>
      <c r="EZ28" s="89" t="str">
        <f aca="false">IF(NOT(Tasks[[#This Row],[_IsLeaf]]=1),"",IF(Tasks[[#This Row],[_AlapShift]]=0,Tasks[[#This Row],[_LeafCalcStart]],WORKDAY.INTL(Tasks[[#This Row],[_LeafCalcStart]],Tasks[[#This Row],[_AlapShift]],WorkWeek,Holidays)))</f>
        <v/>
      </c>
      <c r="FA28" s="89" t="str">
        <f aca="false">IF(NOT(Tasks[[#This Row],[_IsLeaf]]=1),"",IF(Tasks[[#This Row],[_AlapShift]]=0,Tasks[[#This Row],[_LeafCalcFinish]],WORKDAY.INTL(Tasks[[#This Row],[_LeafCalcFinish]],Tasks[[#This Row],[_AlapShift]],WorkWeek,Holidays)))</f>
        <v/>
      </c>
      <c r="FB28" s="89" t="str">
        <f aca="false">IF(NOT(Tasks[[#This Row],[_IsLeaf]]=1),"",IF(Tasks[[#This Row],[_AlapShift]]=0,Tasks[[#This Row],[_LeafFcstStart]],WORKDAY.INTL(Tasks[[#This Row],[_LeafFcstStart]],Tasks[[#This Row],[_AlapShift]],WorkWeek,Holidays)))</f>
        <v/>
      </c>
      <c r="FC28" s="89" t="str">
        <f aca="false">IF(NOT(Tasks[[#This Row],[_IsLeaf]]=1),"",IF(Tasks[[#This Row],[_AlapShift]]=0,Tasks[[#This Row],[_LeafFcstFinish]],WORKDAY.INTL(Tasks[[#This Row],[_LeafFcstFinish]],Tasks[[#This Row],[_AlapShift]],WorkWeek,Holidays)))</f>
        <v/>
      </c>
      <c r="FD28" s="89" t="str">
        <f aca="false">IF(Tasks[[#This Row],[Task Name]]="","",IF(Tasks[[#This Row],[_IsSummary]],MIN(INDEX(Tasks[_ShownCalcStart],Tasks[[#This Row],[_Row]]+1):INDEX(Tasks[_ShownCalcStart],Tasks[[#This Row],[_Row]]+Tasks[[#This Row],[_Descendants]])),Tasks[[#This Row],[_ShownCalcStart]]))</f>
        <v/>
      </c>
      <c r="FE28" s="89" t="str">
        <f aca="false">IF(Tasks[[#This Row],[Task Name]]="","",IF(Tasks[[#This Row],[_IsSummary]],MAX(INDEX(Tasks[_ShownCalcFinish],Tasks[[#This Row],[_Row]]+1):INDEX(Tasks[_ShownCalcFinish],Tasks[[#This Row],[_Row]]+Tasks[[#This Row],[_Descendants]])),Tasks[[#This Row],[_ShownCalcFinish]]))</f>
        <v/>
      </c>
      <c r="FF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8" s="42" t="n">
        <f aca="false">IF(AND(Tasks[[#This Row],[_IsLeaf]]=1,Tasks[[#This Row],[_LeafTotalWork]]&gt;0),NETWORKDAYS.INTL(ProjectStart,Tasks[[#This Row],[_ShownFcstStart]],WorkWeek,Holidays),0)</f>
        <v>0</v>
      </c>
      <c r="FS28" s="42" t="n">
        <f aca="false">IF(AND(Tasks[[#This Row],[_IsLeaf]]=1,Tasks[[#This Row],[_LeafTotalWork]]&gt;0),MAX(Tasks[[#This Row],[_StartWorkday]],NETWORKDAYS.INTL(ProjectStart,Tasks[[#This Row],[_ShownFcstFinish]],WorkWeek,Holidays)),0)</f>
        <v>0</v>
      </c>
      <c r="FT28" s="42" t="n">
        <f aca="false">IF(AND(Tasks[[#This Row],[_IsLeaf]]=1,Tasks[[#This Row],[_LeafTotalWork]]&gt;0),Tasks[[#This Row],[_LeafWork]]/(Tasks[[#This Row],[_FinishWorkday]]-Tasks[[#This Row],[_StartWorkday]]+1),0)</f>
        <v>0</v>
      </c>
      <c r="FU28" s="42" t="n">
        <f aca="false">Tasks[[#This Row],[_WorkPerWorkday]]*(Tasks[[#This Row],[_StartWorkday]]-1)</f>
        <v>-0</v>
      </c>
      <c r="FV28" s="42" t="n">
        <f aca="false">IF(Tasks[[#This Row],[_IsLeaf]]=1,MAX(N(Tasks[[#This Row],[_Days]]),0.1),0)</f>
        <v>0</v>
      </c>
      <c r="FW28" s="42" t="n">
        <f aca="false">Tasks[[#This Row],[_WeightDur]]*Tasks[[#This Row],[_LeafProgress]]</f>
        <v>0</v>
      </c>
      <c r="FX28" s="42" t="n">
        <f aca="false">Tasks[[#This Row],[_WeightDur]]*Tasks[[#This Row],[_PlannedPct]]</f>
        <v>0</v>
      </c>
      <c r="FY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8" s="42" t="str">
        <f aca="false">IF(AND(Tasks[[#This Row],[_IsLeaf]]=1,N(Tasks[[#This Row],[_Days]])=0,Tasks[[#This Row],[_LeafProgress]]&lt;1),Tasks[[#This Row],[_ShownFcstFinish]]+Tasks[[#This Row],[_Row]]/100000,"")</f>
        <v/>
      </c>
      <c r="GA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8" s="42" t="str">
        <f aca="false">IF(Tasks[[#This Row],[Task Name]]="","",LEFT(Tasks[[#This Row],[WBS]],FIND(".",Tasks[[#This Row],[WBS]]&amp;".")-1))</f>
        <v/>
      </c>
      <c r="GC28" s="42" t="str">
        <f aca="false">IF(AND(Tasks[[#This Row],[Task Name]]&lt;&gt;"",Tasks[[#This Row],[_Level]]=1),Tasks[[#This Row],[_Row]],"")</f>
        <v/>
      </c>
      <c r="GD28" s="42" t="str">
        <f aca="false">IF(AND(Tasks[[#This Row],[_IsLeaf]]=1,N(Tasks[[#This Row],[_Days]])=0),Tasks[[#This Row],[Planned Finish]]+Tasks[[#This Row],[_Row]]/100000,"")</f>
        <v/>
      </c>
      <c r="GE28" s="42" t="str">
        <f aca="false">IF(AND(Tasks[[#This Row],[_IsLeaf]]=1,Tasks[[#This Row],[_LeafProgress]]&lt;1,OR(N(Tasks[[#This Row],[Finish Var]])&gt;0,Tasks[[#This Row],[Status]]="Late Start")),MAX(0,Tasks[[#This Row],[Finish Var]])+1-Tasks[[#This Row],[_Row]]/1000000,"")</f>
        <v/>
      </c>
      <c r="GF28" s="42" t="str">
        <f aca="false">IF(AND(Tasks[[#This Row],[_IsLeaf]]=1,N(Tasks[[#This Row],[Actual Start]])=0,Tasks[[#This Row],[_ShownFcstStart]]&gt;=StatusDate,Tasks[[#This Row],[_ShownFcstStart]]&lt;=LookaheadEnd),Tasks[[#This Row],[_ShownFcstStart]]+Tasks[[#This Row],[_Row]]/100000,"")</f>
        <v/>
      </c>
      <c r="GG28" s="42" t="str">
        <f aca="false">IF(AND(Tasks[[#This Row],[_IsLeaf]]=1,Tasks[[#This Row],[_LeafProgress]]&lt;1,Tasks[[#This Row],[_ShownFcstFinish]]&gt;=StatusDate,Tasks[[#This Row],[_ShownFcstFinish]]&lt;=LookaheadEnd),Tasks[[#This Row],[_ShownFcstFinish]]+Tasks[[#This Row],[_Row]]/100000,"")</f>
        <v/>
      </c>
      <c r="GH28" s="42" t="str">
        <f aca="false">IF(Tasks[[#This Row],[_LeafCritical]],Tasks[[#This Row],[_ShownFcstStart]]+Tasks[[#This Row],[_Row]]/100000,"")</f>
        <v/>
      </c>
      <c r="GI28" s="42" t="n">
        <f aca="false">Tasks[[#This Row],[_LeafWork]]*Tasks[[#This Row],[_LeafProgress]]</f>
        <v>0</v>
      </c>
      <c r="GJ28" s="89" t="str">
        <f aca="false">IF(AND(Tasks[[#This Row],[_IsLeaf]]=1,Tasks[[#This Row],[_LeafProgress]]&gt;=1),IF(N(Tasks[[#This Row],[Actual Finish]])&gt;0,Tasks[[#This Row],[Actual Finish]],Tasks[[#This Row],[_ShownFcstFinish]]),"")</f>
        <v/>
      </c>
      <c r="GK28" s="42" t="n">
        <f aca="false">IF(Tasks[[#This Row],[_IsLeaf]]=1,N(Tasks[[#This Row],[Story Points]]),0)</f>
        <v>0</v>
      </c>
      <c r="GL28" s="42" t="str">
        <f aca="false">""</f>
        <v/>
      </c>
      <c r="GM28" s="88" t="b">
        <f aca="false">IF(Tasks[[#This Row],[Task Name]]="",FALSE(),AND(Tasks[[#This Row],[_IsLeaf]]=1,N(Tasks[[#This Row],[_Days]])=0))</f>
        <v>0</v>
      </c>
      <c r="GN28" s="89" t="n">
        <f aca="false">IF(Tasks[[#This Row],[Task Name]]="",0,IF(AND(Tasks[[#This Row],[_IsLeaf]]=1,NOT(Tasks[[#This Row],[_IsMilestone]]),N(Tasks[[#This Row],[Progress]])&gt;0),Tasks[[#This Row],[Start]],0))</f>
        <v>0</v>
      </c>
      <c r="GO28" s="89" t="n">
        <f aca="false">IF(Tasks[[#This Row],[_DoneFrom]]=0,0,IF(Tasks[[#This Row],[Progress]]&gt;=1,Tasks[[#This Row],[Finish]],MAX(Tasks[[#This Row],[_DoneFrom]],Tasks[[#This Row],[Start]]+ROUND((Tasks[[#This Row],[Finish]]-Tasks[[#This Row],[Start]]+1)*Tasks[[#This Row],[Progress]],0)-1)))</f>
        <v>0</v>
      </c>
      <c r="GP28" s="89" t="n">
        <f aca="false">IF(Tasks[[#This Row],[Task Name]]="",0,IF(OR(NOT(Tasks[[#This Row],[_IsLeaf]]=1),Tasks[[#This Row],[_IsMilestone]],N(Tasks[[#This Row],[Progress]])&gt;=1),0,IF(Tasks[[#This Row],[_DoneTo]]&gt;0,Tasks[[#This Row],[_DoneTo]]+1,Tasks[[#This Row],[Start]])))</f>
        <v>0</v>
      </c>
      <c r="GQ28" s="89" t="n">
        <f aca="false">IF(Tasks[[#This Row],[_RemFrom]]=0,0,Tasks[[#This Row],[Finish]])</f>
        <v>0</v>
      </c>
      <c r="GR28" s="88" t="b">
        <f aca="false">IF(Tasks[[#This Row],[Task Name]]="",FALSE(),OR(NOT(BaselineSet),N(Tasks[[#This Row],[Baseline Start]])&gt;0))</f>
        <v>0</v>
      </c>
      <c r="GS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8" s="90" t="str">
        <f aca="false">IF(Tasks[[#This Row],[_IsLeaf]]=1,Tasks[[#This Row],[_Row]],"")</f>
        <v/>
      </c>
      <c r="GW28" s="90" t="str">
        <f aca="false">IFERROR(INDEX(Tasks[UID],SMALL(Tasks[_PickKey],Tasks[[#This Row],[_Row]]))&amp;" "&amp;INDEX(Tasks[Task Name],SMALL(Tasks[_PickKey],Tasks[[#This Row],[_Row]])),"")</f>
        <v/>
      </c>
      <c r="GX28" s="42" t="str">
        <f aca="false">IF(Tasks[[#This Row],[Task Name]]="","",IF(Tasks[[#This Row],[_IsSummary]],NETWORKDAYS.INTL(Tasks[[#This Row],[Start]],Tasks[[#This Row],[Finish]],WorkWeek,Holidays),N(Tasks[[#This Row],[_Days]])))</f>
        <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3"/>
      <c r="U29" s="23"/>
      <c r="V29" s="83"/>
      <c r="W29" s="23"/>
      <c r="X29" s="83"/>
      <c r="Y29" s="23"/>
      <c r="Z29" s="83"/>
      <c r="AA29" s="23"/>
      <c r="AB29" s="23"/>
      <c r="AC29" s="7"/>
      <c r="AD29" s="7"/>
      <c r="AE29" s="62" t="str">
        <f aca="false">IF(Tasks[[#This Row],[Task Name]]="","",IF(Tasks[[#This Row],[_IsSummary]],MIN(INDEX(Tasks[_ShownFcstStart],Tasks[[#This Row],[_Row]]+1):INDEX(Tasks[_ShownFcstStart],Tasks[[#This Row],[_Row]]+Tasks[[#This Row],[_Descendants]])),Tasks[[#This Row],[_ShownFcstStart]]))</f>
        <v/>
      </c>
      <c r="AF29" s="62"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9" s="7"/>
      <c r="AK29" s="22"/>
      <c r="AL29" s="23"/>
      <c r="AM29" s="7"/>
      <c r="AN29" s="46"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2" t="str">
        <f aca="false">IF(Tasks[[#This Row],[Task Name]]="","",IF(N(Tasks[[#This Row],[Baseline Start]])&gt;0,Tasks[[#This Row],[Baseline Start]],Tasks[[#This Row],[_CalcStart]]))</f>
        <v/>
      </c>
      <c r="AR29" s="62" t="str">
        <f aca="false">IF(Tasks[[#This Row],[Task Name]]="","",IF(N(Tasks[[#This Row],[Baseline Finish]])&gt;0,Tasks[[#This Row],[Baseline Finish]],Tasks[[#This Row],[_CalcFinish]]))</f>
        <v/>
      </c>
      <c r="AS29" s="46" t="str">
        <f aca="false">IF(Tasks[[#This Row],[Task Name]]="","",IF(Tasks[[#This Row],[Start]]&gt;=Tasks[[#This Row],[Planned Start]],NETWORKDAYS.INTL(Tasks[[#This Row],[Planned Start]],Tasks[[#This Row],[Start]],WorkWeek,Holidays)-1,1-NETWORKDAYS.INTL(Tasks[[#This Row],[Start]],Tasks[[#This Row],[Planned Start]],WorkWeek,Holidays)))</f>
        <v/>
      </c>
      <c r="AT29" s="62" t="str">
        <f aca="false">IF(Tasks[[#This Row],[Task Name]]="","",IF(Tasks[[#This Row],[_IsSummary]],MIN(INDEX(Tasks[_LeafLateStart],Tasks[[#This Row],[_Row]]+1):INDEX(Tasks[_LeafLateStart],Tasks[[#This Row],[_Row]]+Tasks[[#This Row],[_Descendants]])),Tasks[[#This Row],[_LeafLateStart]]))</f>
        <v/>
      </c>
      <c r="AU29" s="62" t="str">
        <f aca="false">IF(Tasks[[#This Row],[Task Name]]="","",IF(Tasks[[#This Row],[_IsSummary]],MAX(INDEX(Tasks[_LeafLateFinish],Tasks[[#This Row],[_Row]]+1):INDEX(Tasks[_LeafLateFinish],Tasks[[#This Row],[_Row]]+Tasks[[#This Row],[_Descendants]])),Tasks[[#This Row],[_LeafLateFinish]]))</f>
        <v/>
      </c>
      <c r="AV29" s="46"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4"/>
      <c r="BA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5"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6"/>
      <c r="BJ29" s="22"/>
      <c r="BK29" s="46" t="str">
        <f aca="false">IF(OR(Tasks[[#This Row],[Task Name]]="",Tasks[[#This Row],[Baseline Duration]]=""),"",Tasks[[#This Row],[_SpanDays]]-N(Tasks[[#This Row],[Baseline Duration]]))</f>
        <v/>
      </c>
      <c r="BL29" s="85" t="str">
        <f aca="false">IF(OR(Tasks[[#This Row],[Task Name]]="",Tasks[[#This Row],[Baseline Work]]=""),"",Tasks[[#This Row],[Work]]-N(Tasks[[#This Row],[Baseline Work]]))</f>
        <v/>
      </c>
      <c r="BM29" s="62" t="str">
        <f aca="false">IF(Tasks[[#This Row],[Task Name]]="","",IF(OR(TakeBaseline="Yes",N(Tasks[[#This Row],[Baseline Start]])=0),Tasks[[#This Row],[Start]],Tasks[[#This Row],[Baseline Start]]))</f>
        <v/>
      </c>
      <c r="BN29" s="62"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5" t="str">
        <f aca="false">IF(Tasks[[#This Row],[Task Name]]="","",IF(OR(TakeBaseline="Yes",N(Tasks[[#This Row],[Baseline Work]])=0),Tasks[[#This Row],[Work]],Tasks[[#This Row],[Baseline Work]]))</f>
        <v/>
      </c>
      <c r="BQ29" s="7"/>
      <c r="BR29" s="7"/>
      <c r="BS29" s="22"/>
      <c r="BT29" s="87"/>
      <c r="BU29" s="42" t="str">
        <f aca="false">IF(Tasks[[#This Row],[Task Name]]="","",MAX(1,N(Tasks[[#This Row],[Level]])))</f>
        <v/>
      </c>
      <c r="BV29" s="42" t="n">
        <f aca="false">ROW()-ROW(Tasks[[#Headers],[ID]])</f>
        <v>24</v>
      </c>
      <c r="BW29" s="42" t="n">
        <f aca="false">IF(OR(Tasks[[#This Row],[Task Name]]="",Tasks[[#This Row],[_Level]]&lt;=1),0,IFERROR(LOOKUP(2,1/(Tasks[[#Headers],[_Level]]:Tasks[[#This Row],[_Level]]=Tasks[[#This Row],[_Level]]-1),ROW(Tasks[[#Headers],[_Level]]:Tasks[[#This Row],[_Level]])),0))</f>
        <v>0</v>
      </c>
      <c r="BX29" s="42" t="n">
        <f aca="false">IFERROR(N(INDEX(Tasks[_Level],Tasks[[#This Row],[_Row]]+1)),0)</f>
        <v>0</v>
      </c>
      <c r="BY29" s="88" t="b">
        <f aca="false">AND(Tasks[[#This Row],[Task Name]]&lt;&gt;"",Tasks[[#This Row],[_NextLevel]]&gt;Tasks[[#This Row],[_Level]])</f>
        <v>0</v>
      </c>
      <c r="BZ29" s="42" t="n">
        <f aca="false">IF(Tasks[[#This Row],[_IsSummary]],COUNTIF(Tasks[WBS],Tasks[[#This Row],[WBS]]&amp;".*"),0)</f>
        <v>0</v>
      </c>
      <c r="CA29" s="42" t="n">
        <f aca="false">IF(AND(Tasks[[#This Row],[Task Name]]&lt;&gt;"",NOT(Tasks[[#This Row],[_IsSummary]])),1,0)</f>
        <v>0</v>
      </c>
      <c r="CB29" s="42" t="n">
        <f aca="false">IF(N(Tasks[[#This Row],[_Pred1UID]])=0,0,IFERROR(MATCH(Tasks[[#This Row],[_Pred1UID]],Tasks[UID],0),-1))</f>
        <v>0</v>
      </c>
      <c r="CC29" s="42" t="n">
        <f aca="false">IF(N(Tasks[[#This Row],[_Pred2UID]])=0,0,IFERROR(MATCH(Tasks[[#This Row],[_Pred2UID]],Tasks[UID],0),-1))</f>
        <v>0</v>
      </c>
      <c r="CD29" s="42" t="n">
        <f aca="false">IF(N(Tasks[[#This Row],[_Pred3UID]])=0,0,IFERROR(MATCH(Tasks[[#This Row],[_Pred3UID]],Tasks[UID],0),-1))</f>
        <v>0</v>
      </c>
      <c r="CE29" s="42" t="n">
        <f aca="false">IF(N(Tasks[[#This Row],[_Pred4UID]])=0,0,IFERROR(MATCH(Tasks[[#This Row],[_Pred4UID]],Tasks[UID],0),-1))</f>
        <v>0</v>
      </c>
      <c r="CF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9" s="89" t="n">
        <f aca="false">IF(OR(Tasks[[#This Row],[_ConstraintCode]]=2,Tasks[[#This Row],[_ConstraintCode]]=3,Tasks[[#This Row],[_ConstraintCode]]=4,Tasks[[#This Row],[_ConstraintCode]]=6),Tasks[[#This Row],[_ConstraintStart]],0)</f>
        <v>0</v>
      </c>
      <c r="CI29" s="89" t="n">
        <f aca="false">IF(OR(Tasks[[#This Row],[_ConstraintCode]]=2,Tasks[[#This Row],[_ConstraintCode]]=3,Tasks[[#This Row],[_ConstraintCode]]=5,Tasks[[#This Row],[_ConstraintCode]]=7),Tasks[[#This Row],[_ConstraintStart]],2958465)</f>
        <v>2958465</v>
      </c>
      <c r="CJ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9" s="89" t="str">
        <f aca="false">IF(NOT(Tasks[[#This Row],[_IsLeaf]]=1),"",IF(N(Tasks[[#This Row],[_Days]])&lt;=0,Tasks[[#This Row],[_LeafCalcStart]],WORKDAY.INTL(Tasks[[#This Row],[_LeafCalcStart]],Tasks[[#This Row],[_Days]]-1,WorkWeek,Holidays)))</f>
        <v/>
      </c>
      <c r="CL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9" s="42" t="str">
        <f aca="false">IF(Tasks[[#This Row],[_Predecessors]]="","",TRIM(MID(SUBSTITUTE(SUBSTITUTE(SUBSTITUTE(UPPER(Tasks[[#This Row],[_Predecessors]]),";",",")," ",""),",",REPT(" ",99)),1,99)))</f>
        <v/>
      </c>
      <c r="CO29" s="42" t="str">
        <f aca="false">IF(Tasks[[#This Row],[_Pred1Text]]="","",IFERROR(VALUE(LEFT(Tasks[[#This Row],[_Pred1Text]],MIN(FIND("F",Tasks[[#This Row],[_Pred1Text]]&amp;"F"),FIND("S",Tasks[[#This Row],[_Pred1Text]]&amp;"S"),FIND("+",Tasks[[#This Row],[_Pred1Text]]&amp;"+"),FIND("-",Tasks[[#This Row],[_Pred1Text]]&amp;"-"))-1)),""))</f>
        <v/>
      </c>
      <c r="CP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9" s="42" t="str">
        <f aca="false">IF(Tasks[[#This Row],[_Pred1Text]]="","",TRIM(MID(SUBSTITUTE(SUBSTITUTE(SUBSTITUTE(UPPER(Tasks[[#This Row],[_Predecessors]]),";",",")," ",""),",",REPT(" ",99)),100,99)))</f>
        <v/>
      </c>
      <c r="CS29" s="42" t="str">
        <f aca="false">IF(Tasks[[#This Row],[_Pred2Text]]="","",IFERROR(VALUE(LEFT(Tasks[[#This Row],[_Pred2Text]],MIN(FIND("F",Tasks[[#This Row],[_Pred2Text]]&amp;"F"),FIND("S",Tasks[[#This Row],[_Pred2Text]]&amp;"S"),FIND("+",Tasks[[#This Row],[_Pred2Text]]&amp;"+"),FIND("-",Tasks[[#This Row],[_Pred2Text]]&amp;"-"))-1)),""))</f>
        <v/>
      </c>
      <c r="CT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9" s="42" t="str">
        <f aca="false">IF(Tasks[[#This Row],[_Pred2Text]]="","",TRIM(MID(SUBSTITUTE(SUBSTITUTE(SUBSTITUTE(UPPER(Tasks[[#This Row],[_Predecessors]]),";",",")," ",""),",",REPT(" ",99)),199,99)))</f>
        <v/>
      </c>
      <c r="CW29" s="42" t="str">
        <f aca="false">IF(Tasks[[#This Row],[_Pred3Text]]="","",IFERROR(VALUE(LEFT(Tasks[[#This Row],[_Pred3Text]],MIN(FIND("F",Tasks[[#This Row],[_Pred3Text]]&amp;"F"),FIND("S",Tasks[[#This Row],[_Pred3Text]]&amp;"S"),FIND("+",Tasks[[#This Row],[_Pred3Text]]&amp;"+"),FIND("-",Tasks[[#This Row],[_Pred3Text]]&amp;"-"))-1)),""))</f>
        <v/>
      </c>
      <c r="CX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9" s="42" t="str">
        <f aca="false">IF(Tasks[[#This Row],[_Pred3Text]]="","",TRIM(MID(SUBSTITUTE(SUBSTITUTE(SUBSTITUTE(UPPER(Tasks[[#This Row],[_Predecessors]]),";",",")," ",""),",",REPT(" ",99)),298,99)))</f>
        <v/>
      </c>
      <c r="DA29" s="42" t="str">
        <f aca="false">IF(Tasks[[#This Row],[_Pred4Text]]="","",IFERROR(VALUE(LEFT(Tasks[[#This Row],[_Pred4Text]],MIN(FIND("F",Tasks[[#This Row],[_Pred4Text]]&amp;"F"),FIND("S",Tasks[[#This Row],[_Pred4Text]]&amp;"S"),FIND("+",Tasks[[#This Row],[_Pred4Text]]&amp;"+"),FIND("-",Tasks[[#This Row],[_Pred4Text]]&amp;"-"))-1)),""))</f>
        <v/>
      </c>
      <c r="DB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9" s="42" t="str">
        <f aca="false">IF(OR(Tasks[[#This Row],[Task Name]]="",Tasks[[#This Row],[_Resources]]=""),"",TRIM(MID(SUBSTITUTE(Tasks[[#This Row],[_Resources]],",",REPT(" ",99)),1,99)))</f>
        <v/>
      </c>
      <c r="DE29" s="42" t="str">
        <f aca="false">IF(Tasks[[#This Row],[_Res1Text]]="","",TRIM(MID(SUBSTITUTE(Tasks[[#This Row],[_Resources]],",",REPT(" ",99)),100,99)))</f>
        <v/>
      </c>
      <c r="DF29" s="42" t="str">
        <f aca="false">IF(Tasks[[#This Row],[_Res2Text]]="","",TRIM(MID(SUBSTITUTE(Tasks[[#This Row],[_Resources]],",",REPT(" ",99)),199,99)))</f>
        <v/>
      </c>
      <c r="DG29" s="42" t="str">
        <f aca="false">IF(Tasks[[#This Row],[_Res3Text]]="","",TRIM(MID(SUBSTITUTE(Tasks[[#This Row],[_Resources]],",",REPT(" ",99)),298,99)))</f>
        <v/>
      </c>
      <c r="DH29" s="42" t="n">
        <f aca="false">IF(Tasks[[#This Row],[_Res1Text]]="",0,IFERROR(MATCH(TRIM(LEFT(Tasks[[#This Row],[_Res1Text]],FIND("[",Tasks[[#This Row],[_Res1Text]]&amp;"[")-1)),res_Name,0),IFERROR(MATCH(TRIM(LEFT(Tasks[[#This Row],[_Res1Text]],FIND("[",Tasks[[#This Row],[_Res1Text]]&amp;"[")-1)),res_Initials,0),0)))</f>
        <v>0</v>
      </c>
      <c r="DI29" s="42" t="n">
        <f aca="false">IF(Tasks[[#This Row],[_Res2Text]]="",0,IFERROR(MATCH(TRIM(LEFT(Tasks[[#This Row],[_Res2Text]],FIND("[",Tasks[[#This Row],[_Res2Text]]&amp;"[")-1)),res_Name,0),IFERROR(MATCH(TRIM(LEFT(Tasks[[#This Row],[_Res2Text]],FIND("[",Tasks[[#This Row],[_Res2Text]]&amp;"[")-1)),res_Initials,0),0)))</f>
        <v>0</v>
      </c>
      <c r="DJ29" s="42" t="n">
        <f aca="false">IF(Tasks[[#This Row],[_Res3Text]]="",0,IFERROR(MATCH(TRIM(LEFT(Tasks[[#This Row],[_Res3Text]],FIND("[",Tasks[[#This Row],[_Res3Text]]&amp;"[")-1)),res_Name,0),IFERROR(MATCH(TRIM(LEFT(Tasks[[#This Row],[_Res3Text]],FIND("[",Tasks[[#This Row],[_Res3Text]]&amp;"[")-1)),res_Initials,0),0)))</f>
        <v>0</v>
      </c>
      <c r="DK29" s="42" t="n">
        <f aca="false">IF(Tasks[[#This Row],[_Res4Text]]="",0,IFERROR(MATCH(TRIM(LEFT(Tasks[[#This Row],[_Res4Text]],FIND("[",Tasks[[#This Row],[_Res4Text]]&amp;"[")-1)),res_Name,0),IFERROR(MATCH(TRIM(LEFT(Tasks[[#This Row],[_Res4Text]],FIND("[",Tasks[[#This Row],[_Res4Text]]&amp;"[")-1)),res_Initials,0),0)))</f>
        <v>0</v>
      </c>
      <c r="DL29" s="42" t="str">
        <f aca="false">IF(Tasks[[#This Row],[_Res1Text]]="","",IF(Tasks[[#This Row],[_Res1Row]]&gt;0,INDEX(res_Name,Tasks[[#This Row],[_Res1Row]]),TRIM(LEFT(Tasks[[#This Row],[_Res1Text]],FIND("[",Tasks[[#This Row],[_Res1Text]]&amp;"[")-1))))</f>
        <v/>
      </c>
      <c r="DM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9" s="42" t="n">
        <f aca="false">IF(NOT(Tasks[[#This Row],[_IsLeaf]]=1),0,(Tasks[[#This Row],[_Resource1]]&lt;&gt;"")+(Tasks[[#This Row],[_Res2]]&lt;&gt;"")+(Tasks[[#This Row],[_Res3]]&lt;&gt;"")+(Tasks[[#This Row],[_Res4]]&lt;&gt;""))</f>
        <v>0</v>
      </c>
      <c r="DO29" s="42" t="str">
        <f aca="false">IF(Tasks[[#This Row],[_Res2Text]]="","",IF(Tasks[[#This Row],[_Res2Row]]&gt;0,INDEX(res_Name,Tasks[[#This Row],[_Res2Row]]),TRIM(LEFT(Tasks[[#This Row],[_Res2Text]],FIND("[",Tasks[[#This Row],[_Res2Text]]&amp;"[")-1))))</f>
        <v/>
      </c>
      <c r="DP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9" s="42" t="n">
        <f aca="false">IF(OR(NOT(Tasks[[#This Row],[_IsLeaf]]=1),Tasks[[#This Row],[_Res2Row]]=0),0,N(Tasks[[#This Row],[_Days]])*HoursPerDay*IF(Tasks[[#This Row],[_Res2Units]]="",DefaultUnits,Tasks[[#This Row],[_Res2Units]]))</f>
        <v>0</v>
      </c>
      <c r="DR29" s="42" t="n">
        <f aca="false">IF(AND(AND(Tasks[[#This Row],[_IsLeaf]]=1,Tasks[[#This Row],[_LeafTotalWork]]&gt;0),Tasks[[#This Row],[_Res2Work]]&gt;0),Tasks[[#This Row],[_Res2Work]]/(Tasks[[#This Row],[_FinishWorkday]]-Tasks[[#This Row],[_StartWorkday]]+1),0)</f>
        <v>0</v>
      </c>
      <c r="DS29" s="42" t="n">
        <f aca="false">Tasks[[#This Row],[_Res2WorkPerWD]]*MAX(0,Tasks[[#This Row],[_StartWorkday]]-1)</f>
        <v>0</v>
      </c>
      <c r="DT29" s="42" t="n">
        <f aca="false">Tasks[[#This Row],[_Res2Work]]*Tasks[[#This Row],[_LeafProgress]]</f>
        <v>0</v>
      </c>
      <c r="DU29" s="42" t="str">
        <f aca="false">IF(Tasks[[#This Row],[_Res3Text]]="","",IF(Tasks[[#This Row],[_Res3Row]]&gt;0,INDEX(res_Name,Tasks[[#This Row],[_Res3Row]]),TRIM(LEFT(Tasks[[#This Row],[_Res3Text]],FIND("[",Tasks[[#This Row],[_Res3Text]]&amp;"[")-1))))</f>
        <v/>
      </c>
      <c r="DV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9" s="42" t="n">
        <f aca="false">IF(OR(NOT(Tasks[[#This Row],[_IsLeaf]]=1),Tasks[[#This Row],[_Res3Row]]=0),0,N(Tasks[[#This Row],[_Days]])*HoursPerDay*IF(Tasks[[#This Row],[_Res3Units]]="",DefaultUnits,Tasks[[#This Row],[_Res3Units]]))</f>
        <v>0</v>
      </c>
      <c r="DX29" s="42" t="n">
        <f aca="false">IF(AND(AND(Tasks[[#This Row],[_IsLeaf]]=1,Tasks[[#This Row],[_LeafTotalWork]]&gt;0),Tasks[[#This Row],[_Res3Work]]&gt;0),Tasks[[#This Row],[_Res3Work]]/(Tasks[[#This Row],[_FinishWorkday]]-Tasks[[#This Row],[_StartWorkday]]+1),0)</f>
        <v>0</v>
      </c>
      <c r="DY29" s="42" t="n">
        <f aca="false">Tasks[[#This Row],[_Res3WorkPerWD]]*MAX(0,Tasks[[#This Row],[_StartWorkday]]-1)</f>
        <v>0</v>
      </c>
      <c r="DZ29" s="42" t="n">
        <f aca="false">Tasks[[#This Row],[_Res3Work]]*Tasks[[#This Row],[_LeafProgress]]</f>
        <v>0</v>
      </c>
      <c r="EA29" s="42" t="str">
        <f aca="false">IF(Tasks[[#This Row],[_Res4Text]]="","",IF(Tasks[[#This Row],[_Res4Row]]&gt;0,INDEX(res_Name,Tasks[[#This Row],[_Res4Row]]),TRIM(LEFT(Tasks[[#This Row],[_Res4Text]],FIND("[",Tasks[[#This Row],[_Res4Text]]&amp;"[")-1))))</f>
        <v/>
      </c>
      <c r="EB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9" s="42" t="n">
        <f aca="false">IF(OR(NOT(Tasks[[#This Row],[_IsLeaf]]=1),Tasks[[#This Row],[_Res4Row]]=0),0,N(Tasks[[#This Row],[_Days]])*HoursPerDay*IF(Tasks[[#This Row],[_Res4Units]]="",DefaultUnits,Tasks[[#This Row],[_Res4Units]]))</f>
        <v>0</v>
      </c>
      <c r="ED29" s="42" t="n">
        <f aca="false">IF(AND(AND(Tasks[[#This Row],[_IsLeaf]]=1,Tasks[[#This Row],[_LeafTotalWork]]&gt;0),Tasks[[#This Row],[_Res4Work]]&gt;0),Tasks[[#This Row],[_Res4Work]]/(Tasks[[#This Row],[_FinishWorkday]]-Tasks[[#This Row],[_StartWorkday]]+1),0)</f>
        <v>0</v>
      </c>
      <c r="EE29" s="42" t="n">
        <f aca="false">Tasks[[#This Row],[_Res4WorkPerWD]]*MAX(0,Tasks[[#This Row],[_StartWorkday]]-1)</f>
        <v>0</v>
      </c>
      <c r="EF29" s="42" t="n">
        <f aca="false">Tasks[[#This Row],[_Res4Work]]*Tasks[[#This Row],[_LeafProgress]]</f>
        <v>0</v>
      </c>
      <c r="EG29" s="42" t="n">
        <f aca="false">IF(ISNUMBER(Tasks[[#This Row],[% Complete]]),Tasks[[#This Row],[% Complete]],IF(Tasks[[#This Row],[Stage]]="",0,IFERROR(INDEX(stg_Pct,MATCH(Tasks[[#This Row],[Stage]],stg_Name,0)),0)))</f>
        <v>0</v>
      </c>
      <c r="EH29" s="42" t="n">
        <f aca="false">IF(NOT(Tasks[[#This Row],[_IsLeaf]]=1),0,IF(N(Tasks[[#This Row],[Actual Finish]])&gt;0,1,MIN(1,Tasks[[#This Row],[_Pct]])))</f>
        <v>0</v>
      </c>
      <c r="EI29" s="42" t="n">
        <f aca="false">IF(OR(NOT(Tasks[[#This Row],[_IsLeaf]]=1),Tasks[[#This Row],[_Res1Row]]=0),0,N(Tasks[[#This Row],[_Days]])*HoursPerDay*IF(Tasks[[#This Row],[_Units1]]="",DefaultUnits,Tasks[[#This Row],[_Units1]]))</f>
        <v>0</v>
      </c>
      <c r="EJ29" s="42" t="n">
        <f aca="false">Tasks[[#This Row],[_LeafWork]]+Tasks[[#This Row],[_Res2Work]]+Tasks[[#This Row],[_Res3Work]]+Tasks[[#This Row],[_Res4Work]]</f>
        <v>0</v>
      </c>
      <c r="EK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9" s="42" t="n">
        <f aca="false">IF(NOT(Tasks[[#This Row],[_IsLeaf]]=1),0,MAX(_xlfn.MAXIFS(Tasks[_Row],Tasks[_Pred1UID],Tasks[[#This Row],[UID]]),_xlfn.MAXIFS(Tasks[_Row],Tasks[_Pred2UID],Tasks[[#This Row],[UID]]),_xlfn.MAXIFS(Tasks[_Row],Tasks[_Pred3UID],Tasks[[#This Row],[UID]]),_xlfn.MAXIFS(Tasks[_Row],Tasks[_Pred4UID],Tasks[[#This Row],[UID]])))</f>
        <v>0</v>
      </c>
      <c r="ET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9" s="89" t="str">
        <f aca="false">IF(NOT(Tasks[[#This Row],[_IsLeaf]]=1),"",IF(N(Tasks[[#This Row],[_Days]])&lt;=0,Tasks[[#This Row],[_LeafLateFinish]],WORKDAY.INTL(Tasks[[#This Row],[_LeafLateFinish]],-(Tasks[[#This Row],[_Days]]-1),WorkWeek,Holidays)))</f>
        <v/>
      </c>
      <c r="EW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9" s="88" t="b">
        <f aca="false">AND(Tasks[[#This Row],[_IsLeaf]]=1,Tasks[[#This Row],[_LeafProgress]]&lt;1,N(Tasks[[#This Row],[_LeafTotalSlack]])&lt;=CriticalSlackDays)</f>
        <v>0</v>
      </c>
      <c r="EY29" s="42" t="n">
        <f aca="false">IF(AND(Tasks[[#This Row],[_IsLeaf]]=1,Tasks[[#This Row],[_ConstraintCode]]=1,Tasks[[#This Row],[Mode]]&lt;&gt;"Manual",N(Tasks[[#This Row],[Actual Start]])=0),MAX(0,N(Tasks[[#This Row],[Free Slack]])),0)</f>
        <v>0</v>
      </c>
      <c r="EZ29" s="89" t="str">
        <f aca="false">IF(NOT(Tasks[[#This Row],[_IsLeaf]]=1),"",IF(Tasks[[#This Row],[_AlapShift]]=0,Tasks[[#This Row],[_LeafCalcStart]],WORKDAY.INTL(Tasks[[#This Row],[_LeafCalcStart]],Tasks[[#This Row],[_AlapShift]],WorkWeek,Holidays)))</f>
        <v/>
      </c>
      <c r="FA29" s="89" t="str">
        <f aca="false">IF(NOT(Tasks[[#This Row],[_IsLeaf]]=1),"",IF(Tasks[[#This Row],[_AlapShift]]=0,Tasks[[#This Row],[_LeafCalcFinish]],WORKDAY.INTL(Tasks[[#This Row],[_LeafCalcFinish]],Tasks[[#This Row],[_AlapShift]],WorkWeek,Holidays)))</f>
        <v/>
      </c>
      <c r="FB29" s="89" t="str">
        <f aca="false">IF(NOT(Tasks[[#This Row],[_IsLeaf]]=1),"",IF(Tasks[[#This Row],[_AlapShift]]=0,Tasks[[#This Row],[_LeafFcstStart]],WORKDAY.INTL(Tasks[[#This Row],[_LeafFcstStart]],Tasks[[#This Row],[_AlapShift]],WorkWeek,Holidays)))</f>
        <v/>
      </c>
      <c r="FC29" s="89" t="str">
        <f aca="false">IF(NOT(Tasks[[#This Row],[_IsLeaf]]=1),"",IF(Tasks[[#This Row],[_AlapShift]]=0,Tasks[[#This Row],[_LeafFcstFinish]],WORKDAY.INTL(Tasks[[#This Row],[_LeafFcstFinish]],Tasks[[#This Row],[_AlapShift]],WorkWeek,Holidays)))</f>
        <v/>
      </c>
      <c r="FD29" s="89" t="str">
        <f aca="false">IF(Tasks[[#This Row],[Task Name]]="","",IF(Tasks[[#This Row],[_IsSummary]],MIN(INDEX(Tasks[_ShownCalcStart],Tasks[[#This Row],[_Row]]+1):INDEX(Tasks[_ShownCalcStart],Tasks[[#This Row],[_Row]]+Tasks[[#This Row],[_Descendants]])),Tasks[[#This Row],[_ShownCalcStart]]))</f>
        <v/>
      </c>
      <c r="FE29" s="89" t="str">
        <f aca="false">IF(Tasks[[#This Row],[Task Name]]="","",IF(Tasks[[#This Row],[_IsSummary]],MAX(INDEX(Tasks[_ShownCalcFinish],Tasks[[#This Row],[_Row]]+1):INDEX(Tasks[_ShownCalcFinish],Tasks[[#This Row],[_Row]]+Tasks[[#This Row],[_Descendants]])),Tasks[[#This Row],[_ShownCalcFinish]]))</f>
        <v/>
      </c>
      <c r="FF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9" s="42" t="n">
        <f aca="false">IF(AND(Tasks[[#This Row],[_IsLeaf]]=1,Tasks[[#This Row],[_LeafTotalWork]]&gt;0),NETWORKDAYS.INTL(ProjectStart,Tasks[[#This Row],[_ShownFcstStart]],WorkWeek,Holidays),0)</f>
        <v>0</v>
      </c>
      <c r="FS29" s="42" t="n">
        <f aca="false">IF(AND(Tasks[[#This Row],[_IsLeaf]]=1,Tasks[[#This Row],[_LeafTotalWork]]&gt;0),MAX(Tasks[[#This Row],[_StartWorkday]],NETWORKDAYS.INTL(ProjectStart,Tasks[[#This Row],[_ShownFcstFinish]],WorkWeek,Holidays)),0)</f>
        <v>0</v>
      </c>
      <c r="FT29" s="42" t="n">
        <f aca="false">IF(AND(Tasks[[#This Row],[_IsLeaf]]=1,Tasks[[#This Row],[_LeafTotalWork]]&gt;0),Tasks[[#This Row],[_LeafWork]]/(Tasks[[#This Row],[_FinishWorkday]]-Tasks[[#This Row],[_StartWorkday]]+1),0)</f>
        <v>0</v>
      </c>
      <c r="FU29" s="42" t="n">
        <f aca="false">Tasks[[#This Row],[_WorkPerWorkday]]*(Tasks[[#This Row],[_StartWorkday]]-1)</f>
        <v>-0</v>
      </c>
      <c r="FV29" s="42" t="n">
        <f aca="false">IF(Tasks[[#This Row],[_IsLeaf]]=1,MAX(N(Tasks[[#This Row],[_Days]]),0.1),0)</f>
        <v>0</v>
      </c>
      <c r="FW29" s="42" t="n">
        <f aca="false">Tasks[[#This Row],[_WeightDur]]*Tasks[[#This Row],[_LeafProgress]]</f>
        <v>0</v>
      </c>
      <c r="FX29" s="42" t="n">
        <f aca="false">Tasks[[#This Row],[_WeightDur]]*Tasks[[#This Row],[_PlannedPct]]</f>
        <v>0</v>
      </c>
      <c r="FY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9" s="42" t="str">
        <f aca="false">IF(AND(Tasks[[#This Row],[_IsLeaf]]=1,N(Tasks[[#This Row],[_Days]])=0,Tasks[[#This Row],[_LeafProgress]]&lt;1),Tasks[[#This Row],[_ShownFcstFinish]]+Tasks[[#This Row],[_Row]]/100000,"")</f>
        <v/>
      </c>
      <c r="GA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9" s="42" t="str">
        <f aca="false">IF(Tasks[[#This Row],[Task Name]]="","",LEFT(Tasks[[#This Row],[WBS]],FIND(".",Tasks[[#This Row],[WBS]]&amp;".")-1))</f>
        <v/>
      </c>
      <c r="GC29" s="42" t="str">
        <f aca="false">IF(AND(Tasks[[#This Row],[Task Name]]&lt;&gt;"",Tasks[[#This Row],[_Level]]=1),Tasks[[#This Row],[_Row]],"")</f>
        <v/>
      </c>
      <c r="GD29" s="42" t="str">
        <f aca="false">IF(AND(Tasks[[#This Row],[_IsLeaf]]=1,N(Tasks[[#This Row],[_Days]])=0),Tasks[[#This Row],[Planned Finish]]+Tasks[[#This Row],[_Row]]/100000,"")</f>
        <v/>
      </c>
      <c r="GE29" s="42" t="str">
        <f aca="false">IF(AND(Tasks[[#This Row],[_IsLeaf]]=1,Tasks[[#This Row],[_LeafProgress]]&lt;1,OR(N(Tasks[[#This Row],[Finish Var]])&gt;0,Tasks[[#This Row],[Status]]="Late Start")),MAX(0,Tasks[[#This Row],[Finish Var]])+1-Tasks[[#This Row],[_Row]]/1000000,"")</f>
        <v/>
      </c>
      <c r="GF29" s="42" t="str">
        <f aca="false">IF(AND(Tasks[[#This Row],[_IsLeaf]]=1,N(Tasks[[#This Row],[Actual Start]])=0,Tasks[[#This Row],[_ShownFcstStart]]&gt;=StatusDate,Tasks[[#This Row],[_ShownFcstStart]]&lt;=LookaheadEnd),Tasks[[#This Row],[_ShownFcstStart]]+Tasks[[#This Row],[_Row]]/100000,"")</f>
        <v/>
      </c>
      <c r="GG29" s="42" t="str">
        <f aca="false">IF(AND(Tasks[[#This Row],[_IsLeaf]]=1,Tasks[[#This Row],[_LeafProgress]]&lt;1,Tasks[[#This Row],[_ShownFcstFinish]]&gt;=StatusDate,Tasks[[#This Row],[_ShownFcstFinish]]&lt;=LookaheadEnd),Tasks[[#This Row],[_ShownFcstFinish]]+Tasks[[#This Row],[_Row]]/100000,"")</f>
        <v/>
      </c>
      <c r="GH29" s="42" t="str">
        <f aca="false">IF(Tasks[[#This Row],[_LeafCritical]],Tasks[[#This Row],[_ShownFcstStart]]+Tasks[[#This Row],[_Row]]/100000,"")</f>
        <v/>
      </c>
      <c r="GI29" s="42" t="n">
        <f aca="false">Tasks[[#This Row],[_LeafWork]]*Tasks[[#This Row],[_LeafProgress]]</f>
        <v>0</v>
      </c>
      <c r="GJ29" s="89" t="str">
        <f aca="false">IF(AND(Tasks[[#This Row],[_IsLeaf]]=1,Tasks[[#This Row],[_LeafProgress]]&gt;=1),IF(N(Tasks[[#This Row],[Actual Finish]])&gt;0,Tasks[[#This Row],[Actual Finish]],Tasks[[#This Row],[_ShownFcstFinish]]),"")</f>
        <v/>
      </c>
      <c r="GK29" s="42" t="n">
        <f aca="false">IF(Tasks[[#This Row],[_IsLeaf]]=1,N(Tasks[[#This Row],[Story Points]]),0)</f>
        <v>0</v>
      </c>
      <c r="GL29" s="42" t="str">
        <f aca="false">""</f>
        <v/>
      </c>
      <c r="GM29" s="88" t="b">
        <f aca="false">IF(Tasks[[#This Row],[Task Name]]="",FALSE(),AND(Tasks[[#This Row],[_IsLeaf]]=1,N(Tasks[[#This Row],[_Days]])=0))</f>
        <v>0</v>
      </c>
      <c r="GN29" s="89" t="n">
        <f aca="false">IF(Tasks[[#This Row],[Task Name]]="",0,IF(AND(Tasks[[#This Row],[_IsLeaf]]=1,NOT(Tasks[[#This Row],[_IsMilestone]]),N(Tasks[[#This Row],[Progress]])&gt;0),Tasks[[#This Row],[Start]],0))</f>
        <v>0</v>
      </c>
      <c r="GO29" s="89" t="n">
        <f aca="false">IF(Tasks[[#This Row],[_DoneFrom]]=0,0,IF(Tasks[[#This Row],[Progress]]&gt;=1,Tasks[[#This Row],[Finish]],MAX(Tasks[[#This Row],[_DoneFrom]],Tasks[[#This Row],[Start]]+ROUND((Tasks[[#This Row],[Finish]]-Tasks[[#This Row],[Start]]+1)*Tasks[[#This Row],[Progress]],0)-1)))</f>
        <v>0</v>
      </c>
      <c r="GP29" s="89" t="n">
        <f aca="false">IF(Tasks[[#This Row],[Task Name]]="",0,IF(OR(NOT(Tasks[[#This Row],[_IsLeaf]]=1),Tasks[[#This Row],[_IsMilestone]],N(Tasks[[#This Row],[Progress]])&gt;=1),0,IF(Tasks[[#This Row],[_DoneTo]]&gt;0,Tasks[[#This Row],[_DoneTo]]+1,Tasks[[#This Row],[Start]])))</f>
        <v>0</v>
      </c>
      <c r="GQ29" s="89" t="n">
        <f aca="false">IF(Tasks[[#This Row],[_RemFrom]]=0,0,Tasks[[#This Row],[Finish]])</f>
        <v>0</v>
      </c>
      <c r="GR29" s="88" t="b">
        <f aca="false">IF(Tasks[[#This Row],[Task Name]]="",FALSE(),OR(NOT(BaselineSet),N(Tasks[[#This Row],[Baseline Start]])&gt;0))</f>
        <v>0</v>
      </c>
      <c r="GS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9" s="90" t="str">
        <f aca="false">IF(Tasks[[#This Row],[_IsLeaf]]=1,Tasks[[#This Row],[_Row]],"")</f>
        <v/>
      </c>
      <c r="GW29" s="90" t="str">
        <f aca="false">IFERROR(INDEX(Tasks[UID],SMALL(Tasks[_PickKey],Tasks[[#This Row],[_Row]]))&amp;" "&amp;INDEX(Tasks[Task Name],SMALL(Tasks[_PickKey],Tasks[[#This Row],[_Row]])),"")</f>
        <v/>
      </c>
      <c r="GX29" s="42" t="str">
        <f aca="false">IF(Tasks[[#This Row],[Task Name]]="","",IF(Tasks[[#This Row],[_IsSummary]],NETWORKDAYS.INTL(Tasks[[#This Row],[Start]],Tasks[[#This Row],[Finish]],WorkWeek,Holidays),N(Tasks[[#This Row],[_Days]])))</f>
        <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3"/>
      <c r="U30" s="23"/>
      <c r="V30" s="83"/>
      <c r="W30" s="23"/>
      <c r="X30" s="83"/>
      <c r="Y30" s="23"/>
      <c r="Z30" s="83"/>
      <c r="AA30" s="23"/>
      <c r="AB30" s="23"/>
      <c r="AC30" s="7"/>
      <c r="AD30" s="7"/>
      <c r="AE30" s="62" t="str">
        <f aca="false">IF(Tasks[[#This Row],[Task Name]]="","",IF(Tasks[[#This Row],[_IsSummary]],MIN(INDEX(Tasks[_ShownFcstStart],Tasks[[#This Row],[_Row]]+1):INDEX(Tasks[_ShownFcstStart],Tasks[[#This Row],[_Row]]+Tasks[[#This Row],[_Descendants]])),Tasks[[#This Row],[_ShownFcstStart]]))</f>
        <v/>
      </c>
      <c r="AF30" s="62"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0" s="7"/>
      <c r="AK30" s="22"/>
      <c r="AL30" s="23"/>
      <c r="AM30" s="7"/>
      <c r="AN30" s="46"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2" t="str">
        <f aca="false">IF(Tasks[[#This Row],[Task Name]]="","",IF(N(Tasks[[#This Row],[Baseline Start]])&gt;0,Tasks[[#This Row],[Baseline Start]],Tasks[[#This Row],[_CalcStart]]))</f>
        <v/>
      </c>
      <c r="AR30" s="62" t="str">
        <f aca="false">IF(Tasks[[#This Row],[Task Name]]="","",IF(N(Tasks[[#This Row],[Baseline Finish]])&gt;0,Tasks[[#This Row],[Baseline Finish]],Tasks[[#This Row],[_CalcFinish]]))</f>
        <v/>
      </c>
      <c r="AS30" s="46" t="str">
        <f aca="false">IF(Tasks[[#This Row],[Task Name]]="","",IF(Tasks[[#This Row],[Start]]&gt;=Tasks[[#This Row],[Planned Start]],NETWORKDAYS.INTL(Tasks[[#This Row],[Planned Start]],Tasks[[#This Row],[Start]],WorkWeek,Holidays)-1,1-NETWORKDAYS.INTL(Tasks[[#This Row],[Start]],Tasks[[#This Row],[Planned Start]],WorkWeek,Holidays)))</f>
        <v/>
      </c>
      <c r="AT30" s="62" t="str">
        <f aca="false">IF(Tasks[[#This Row],[Task Name]]="","",IF(Tasks[[#This Row],[_IsSummary]],MIN(INDEX(Tasks[_LeafLateStart],Tasks[[#This Row],[_Row]]+1):INDEX(Tasks[_LeafLateStart],Tasks[[#This Row],[_Row]]+Tasks[[#This Row],[_Descendants]])),Tasks[[#This Row],[_LeafLateStart]]))</f>
        <v/>
      </c>
      <c r="AU30" s="62" t="str">
        <f aca="false">IF(Tasks[[#This Row],[Task Name]]="","",IF(Tasks[[#This Row],[_IsSummary]],MAX(INDEX(Tasks[_LeafLateFinish],Tasks[[#This Row],[_Row]]+1):INDEX(Tasks[_LeafLateFinish],Tasks[[#This Row],[_Row]]+Tasks[[#This Row],[_Descendants]])),Tasks[[#This Row],[_LeafLateFinish]]))</f>
        <v/>
      </c>
      <c r="AV30" s="46"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4"/>
      <c r="BA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5"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6"/>
      <c r="BJ30" s="22"/>
      <c r="BK30" s="46" t="str">
        <f aca="false">IF(OR(Tasks[[#This Row],[Task Name]]="",Tasks[[#This Row],[Baseline Duration]]=""),"",Tasks[[#This Row],[_SpanDays]]-N(Tasks[[#This Row],[Baseline Duration]]))</f>
        <v/>
      </c>
      <c r="BL30" s="85" t="str">
        <f aca="false">IF(OR(Tasks[[#This Row],[Task Name]]="",Tasks[[#This Row],[Baseline Work]]=""),"",Tasks[[#This Row],[Work]]-N(Tasks[[#This Row],[Baseline Work]]))</f>
        <v/>
      </c>
      <c r="BM30" s="62" t="str">
        <f aca="false">IF(Tasks[[#This Row],[Task Name]]="","",IF(OR(TakeBaseline="Yes",N(Tasks[[#This Row],[Baseline Start]])=0),Tasks[[#This Row],[Start]],Tasks[[#This Row],[Baseline Start]]))</f>
        <v/>
      </c>
      <c r="BN30" s="62"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5" t="str">
        <f aca="false">IF(Tasks[[#This Row],[Task Name]]="","",IF(OR(TakeBaseline="Yes",N(Tasks[[#This Row],[Baseline Work]])=0),Tasks[[#This Row],[Work]],Tasks[[#This Row],[Baseline Work]]))</f>
        <v/>
      </c>
      <c r="BQ30" s="7"/>
      <c r="BR30" s="7"/>
      <c r="BS30" s="22"/>
      <c r="BT30" s="87"/>
      <c r="BU30" s="42" t="str">
        <f aca="false">IF(Tasks[[#This Row],[Task Name]]="","",MAX(1,N(Tasks[[#This Row],[Level]])))</f>
        <v/>
      </c>
      <c r="BV30" s="42" t="n">
        <f aca="false">ROW()-ROW(Tasks[[#Headers],[ID]])</f>
        <v>25</v>
      </c>
      <c r="BW30" s="42" t="n">
        <f aca="false">IF(OR(Tasks[[#This Row],[Task Name]]="",Tasks[[#This Row],[_Level]]&lt;=1),0,IFERROR(LOOKUP(2,1/(Tasks[[#Headers],[_Level]]:Tasks[[#This Row],[_Level]]=Tasks[[#This Row],[_Level]]-1),ROW(Tasks[[#Headers],[_Level]]:Tasks[[#This Row],[_Level]])),0))</f>
        <v>0</v>
      </c>
      <c r="BX30" s="42" t="n">
        <f aca="false">IFERROR(N(INDEX(Tasks[_Level],Tasks[[#This Row],[_Row]]+1)),0)</f>
        <v>0</v>
      </c>
      <c r="BY30" s="88" t="b">
        <f aca="false">AND(Tasks[[#This Row],[Task Name]]&lt;&gt;"",Tasks[[#This Row],[_NextLevel]]&gt;Tasks[[#This Row],[_Level]])</f>
        <v>0</v>
      </c>
      <c r="BZ30" s="42" t="n">
        <f aca="false">IF(Tasks[[#This Row],[_IsSummary]],COUNTIF(Tasks[WBS],Tasks[[#This Row],[WBS]]&amp;".*"),0)</f>
        <v>0</v>
      </c>
      <c r="CA30" s="42" t="n">
        <f aca="false">IF(AND(Tasks[[#This Row],[Task Name]]&lt;&gt;"",NOT(Tasks[[#This Row],[_IsSummary]])),1,0)</f>
        <v>0</v>
      </c>
      <c r="CB30" s="42" t="n">
        <f aca="false">IF(N(Tasks[[#This Row],[_Pred1UID]])=0,0,IFERROR(MATCH(Tasks[[#This Row],[_Pred1UID]],Tasks[UID],0),-1))</f>
        <v>0</v>
      </c>
      <c r="CC30" s="42" t="n">
        <f aca="false">IF(N(Tasks[[#This Row],[_Pred2UID]])=0,0,IFERROR(MATCH(Tasks[[#This Row],[_Pred2UID]],Tasks[UID],0),-1))</f>
        <v>0</v>
      </c>
      <c r="CD30" s="42" t="n">
        <f aca="false">IF(N(Tasks[[#This Row],[_Pred3UID]])=0,0,IFERROR(MATCH(Tasks[[#This Row],[_Pred3UID]],Tasks[UID],0),-1))</f>
        <v>0</v>
      </c>
      <c r="CE30" s="42" t="n">
        <f aca="false">IF(N(Tasks[[#This Row],[_Pred4UID]])=0,0,IFERROR(MATCH(Tasks[[#This Row],[_Pred4UID]],Tasks[UID],0),-1))</f>
        <v>0</v>
      </c>
      <c r="CF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0" s="89" t="n">
        <f aca="false">IF(OR(Tasks[[#This Row],[_ConstraintCode]]=2,Tasks[[#This Row],[_ConstraintCode]]=3,Tasks[[#This Row],[_ConstraintCode]]=4,Tasks[[#This Row],[_ConstraintCode]]=6),Tasks[[#This Row],[_ConstraintStart]],0)</f>
        <v>0</v>
      </c>
      <c r="CI30" s="89" t="n">
        <f aca="false">IF(OR(Tasks[[#This Row],[_ConstraintCode]]=2,Tasks[[#This Row],[_ConstraintCode]]=3,Tasks[[#This Row],[_ConstraintCode]]=5,Tasks[[#This Row],[_ConstraintCode]]=7),Tasks[[#This Row],[_ConstraintStart]],2958465)</f>
        <v>2958465</v>
      </c>
      <c r="CJ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0" s="89" t="str">
        <f aca="false">IF(NOT(Tasks[[#This Row],[_IsLeaf]]=1),"",IF(N(Tasks[[#This Row],[_Days]])&lt;=0,Tasks[[#This Row],[_LeafCalcStart]],WORKDAY.INTL(Tasks[[#This Row],[_LeafCalcStart]],Tasks[[#This Row],[_Days]]-1,WorkWeek,Holidays)))</f>
        <v/>
      </c>
      <c r="CL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0" s="42" t="str">
        <f aca="false">IF(Tasks[[#This Row],[_Predecessors]]="","",TRIM(MID(SUBSTITUTE(SUBSTITUTE(SUBSTITUTE(UPPER(Tasks[[#This Row],[_Predecessors]]),";",",")," ",""),",",REPT(" ",99)),1,99)))</f>
        <v/>
      </c>
      <c r="CO30" s="42" t="str">
        <f aca="false">IF(Tasks[[#This Row],[_Pred1Text]]="","",IFERROR(VALUE(LEFT(Tasks[[#This Row],[_Pred1Text]],MIN(FIND("F",Tasks[[#This Row],[_Pred1Text]]&amp;"F"),FIND("S",Tasks[[#This Row],[_Pred1Text]]&amp;"S"),FIND("+",Tasks[[#This Row],[_Pred1Text]]&amp;"+"),FIND("-",Tasks[[#This Row],[_Pred1Text]]&amp;"-"))-1)),""))</f>
        <v/>
      </c>
      <c r="CP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0" s="42" t="str">
        <f aca="false">IF(Tasks[[#This Row],[_Pred1Text]]="","",TRIM(MID(SUBSTITUTE(SUBSTITUTE(SUBSTITUTE(UPPER(Tasks[[#This Row],[_Predecessors]]),";",",")," ",""),",",REPT(" ",99)),100,99)))</f>
        <v/>
      </c>
      <c r="CS30" s="42" t="str">
        <f aca="false">IF(Tasks[[#This Row],[_Pred2Text]]="","",IFERROR(VALUE(LEFT(Tasks[[#This Row],[_Pred2Text]],MIN(FIND("F",Tasks[[#This Row],[_Pred2Text]]&amp;"F"),FIND("S",Tasks[[#This Row],[_Pred2Text]]&amp;"S"),FIND("+",Tasks[[#This Row],[_Pred2Text]]&amp;"+"),FIND("-",Tasks[[#This Row],[_Pred2Text]]&amp;"-"))-1)),""))</f>
        <v/>
      </c>
      <c r="CT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0" s="42" t="str">
        <f aca="false">IF(Tasks[[#This Row],[_Pred2Text]]="","",TRIM(MID(SUBSTITUTE(SUBSTITUTE(SUBSTITUTE(UPPER(Tasks[[#This Row],[_Predecessors]]),";",",")," ",""),",",REPT(" ",99)),199,99)))</f>
        <v/>
      </c>
      <c r="CW30" s="42" t="str">
        <f aca="false">IF(Tasks[[#This Row],[_Pred3Text]]="","",IFERROR(VALUE(LEFT(Tasks[[#This Row],[_Pred3Text]],MIN(FIND("F",Tasks[[#This Row],[_Pred3Text]]&amp;"F"),FIND("S",Tasks[[#This Row],[_Pred3Text]]&amp;"S"),FIND("+",Tasks[[#This Row],[_Pred3Text]]&amp;"+"),FIND("-",Tasks[[#This Row],[_Pred3Text]]&amp;"-"))-1)),""))</f>
        <v/>
      </c>
      <c r="CX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0" s="42" t="str">
        <f aca="false">IF(Tasks[[#This Row],[_Pred3Text]]="","",TRIM(MID(SUBSTITUTE(SUBSTITUTE(SUBSTITUTE(UPPER(Tasks[[#This Row],[_Predecessors]]),";",",")," ",""),",",REPT(" ",99)),298,99)))</f>
        <v/>
      </c>
      <c r="DA30" s="42" t="str">
        <f aca="false">IF(Tasks[[#This Row],[_Pred4Text]]="","",IFERROR(VALUE(LEFT(Tasks[[#This Row],[_Pred4Text]],MIN(FIND("F",Tasks[[#This Row],[_Pred4Text]]&amp;"F"),FIND("S",Tasks[[#This Row],[_Pred4Text]]&amp;"S"),FIND("+",Tasks[[#This Row],[_Pred4Text]]&amp;"+"),FIND("-",Tasks[[#This Row],[_Pred4Text]]&amp;"-"))-1)),""))</f>
        <v/>
      </c>
      <c r="DB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0" s="42" t="str">
        <f aca="false">IF(OR(Tasks[[#This Row],[Task Name]]="",Tasks[[#This Row],[_Resources]]=""),"",TRIM(MID(SUBSTITUTE(Tasks[[#This Row],[_Resources]],",",REPT(" ",99)),1,99)))</f>
        <v/>
      </c>
      <c r="DE30" s="42" t="str">
        <f aca="false">IF(Tasks[[#This Row],[_Res1Text]]="","",TRIM(MID(SUBSTITUTE(Tasks[[#This Row],[_Resources]],",",REPT(" ",99)),100,99)))</f>
        <v/>
      </c>
      <c r="DF30" s="42" t="str">
        <f aca="false">IF(Tasks[[#This Row],[_Res2Text]]="","",TRIM(MID(SUBSTITUTE(Tasks[[#This Row],[_Resources]],",",REPT(" ",99)),199,99)))</f>
        <v/>
      </c>
      <c r="DG30" s="42" t="str">
        <f aca="false">IF(Tasks[[#This Row],[_Res3Text]]="","",TRIM(MID(SUBSTITUTE(Tasks[[#This Row],[_Resources]],",",REPT(" ",99)),298,99)))</f>
        <v/>
      </c>
      <c r="DH30" s="42" t="n">
        <f aca="false">IF(Tasks[[#This Row],[_Res1Text]]="",0,IFERROR(MATCH(TRIM(LEFT(Tasks[[#This Row],[_Res1Text]],FIND("[",Tasks[[#This Row],[_Res1Text]]&amp;"[")-1)),res_Name,0),IFERROR(MATCH(TRIM(LEFT(Tasks[[#This Row],[_Res1Text]],FIND("[",Tasks[[#This Row],[_Res1Text]]&amp;"[")-1)),res_Initials,0),0)))</f>
        <v>0</v>
      </c>
      <c r="DI30" s="42" t="n">
        <f aca="false">IF(Tasks[[#This Row],[_Res2Text]]="",0,IFERROR(MATCH(TRIM(LEFT(Tasks[[#This Row],[_Res2Text]],FIND("[",Tasks[[#This Row],[_Res2Text]]&amp;"[")-1)),res_Name,0),IFERROR(MATCH(TRIM(LEFT(Tasks[[#This Row],[_Res2Text]],FIND("[",Tasks[[#This Row],[_Res2Text]]&amp;"[")-1)),res_Initials,0),0)))</f>
        <v>0</v>
      </c>
      <c r="DJ30" s="42" t="n">
        <f aca="false">IF(Tasks[[#This Row],[_Res3Text]]="",0,IFERROR(MATCH(TRIM(LEFT(Tasks[[#This Row],[_Res3Text]],FIND("[",Tasks[[#This Row],[_Res3Text]]&amp;"[")-1)),res_Name,0),IFERROR(MATCH(TRIM(LEFT(Tasks[[#This Row],[_Res3Text]],FIND("[",Tasks[[#This Row],[_Res3Text]]&amp;"[")-1)),res_Initials,0),0)))</f>
        <v>0</v>
      </c>
      <c r="DK30" s="42" t="n">
        <f aca="false">IF(Tasks[[#This Row],[_Res4Text]]="",0,IFERROR(MATCH(TRIM(LEFT(Tasks[[#This Row],[_Res4Text]],FIND("[",Tasks[[#This Row],[_Res4Text]]&amp;"[")-1)),res_Name,0),IFERROR(MATCH(TRIM(LEFT(Tasks[[#This Row],[_Res4Text]],FIND("[",Tasks[[#This Row],[_Res4Text]]&amp;"[")-1)),res_Initials,0),0)))</f>
        <v>0</v>
      </c>
      <c r="DL30" s="42" t="str">
        <f aca="false">IF(Tasks[[#This Row],[_Res1Text]]="","",IF(Tasks[[#This Row],[_Res1Row]]&gt;0,INDEX(res_Name,Tasks[[#This Row],[_Res1Row]]),TRIM(LEFT(Tasks[[#This Row],[_Res1Text]],FIND("[",Tasks[[#This Row],[_Res1Text]]&amp;"[")-1))))</f>
        <v/>
      </c>
      <c r="DM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0" s="42" t="n">
        <f aca="false">IF(NOT(Tasks[[#This Row],[_IsLeaf]]=1),0,(Tasks[[#This Row],[_Resource1]]&lt;&gt;"")+(Tasks[[#This Row],[_Res2]]&lt;&gt;"")+(Tasks[[#This Row],[_Res3]]&lt;&gt;"")+(Tasks[[#This Row],[_Res4]]&lt;&gt;""))</f>
        <v>0</v>
      </c>
      <c r="DO30" s="42" t="str">
        <f aca="false">IF(Tasks[[#This Row],[_Res2Text]]="","",IF(Tasks[[#This Row],[_Res2Row]]&gt;0,INDEX(res_Name,Tasks[[#This Row],[_Res2Row]]),TRIM(LEFT(Tasks[[#This Row],[_Res2Text]],FIND("[",Tasks[[#This Row],[_Res2Text]]&amp;"[")-1))))</f>
        <v/>
      </c>
      <c r="DP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0" s="42" t="n">
        <f aca="false">IF(OR(NOT(Tasks[[#This Row],[_IsLeaf]]=1),Tasks[[#This Row],[_Res2Row]]=0),0,N(Tasks[[#This Row],[_Days]])*HoursPerDay*IF(Tasks[[#This Row],[_Res2Units]]="",DefaultUnits,Tasks[[#This Row],[_Res2Units]]))</f>
        <v>0</v>
      </c>
      <c r="DR30" s="42" t="n">
        <f aca="false">IF(AND(AND(Tasks[[#This Row],[_IsLeaf]]=1,Tasks[[#This Row],[_LeafTotalWork]]&gt;0),Tasks[[#This Row],[_Res2Work]]&gt;0),Tasks[[#This Row],[_Res2Work]]/(Tasks[[#This Row],[_FinishWorkday]]-Tasks[[#This Row],[_StartWorkday]]+1),0)</f>
        <v>0</v>
      </c>
      <c r="DS30" s="42" t="n">
        <f aca="false">Tasks[[#This Row],[_Res2WorkPerWD]]*MAX(0,Tasks[[#This Row],[_StartWorkday]]-1)</f>
        <v>0</v>
      </c>
      <c r="DT30" s="42" t="n">
        <f aca="false">Tasks[[#This Row],[_Res2Work]]*Tasks[[#This Row],[_LeafProgress]]</f>
        <v>0</v>
      </c>
      <c r="DU30" s="42" t="str">
        <f aca="false">IF(Tasks[[#This Row],[_Res3Text]]="","",IF(Tasks[[#This Row],[_Res3Row]]&gt;0,INDEX(res_Name,Tasks[[#This Row],[_Res3Row]]),TRIM(LEFT(Tasks[[#This Row],[_Res3Text]],FIND("[",Tasks[[#This Row],[_Res3Text]]&amp;"[")-1))))</f>
        <v/>
      </c>
      <c r="DV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0" s="42" t="n">
        <f aca="false">IF(OR(NOT(Tasks[[#This Row],[_IsLeaf]]=1),Tasks[[#This Row],[_Res3Row]]=0),0,N(Tasks[[#This Row],[_Days]])*HoursPerDay*IF(Tasks[[#This Row],[_Res3Units]]="",DefaultUnits,Tasks[[#This Row],[_Res3Units]]))</f>
        <v>0</v>
      </c>
      <c r="DX30" s="42" t="n">
        <f aca="false">IF(AND(AND(Tasks[[#This Row],[_IsLeaf]]=1,Tasks[[#This Row],[_LeafTotalWork]]&gt;0),Tasks[[#This Row],[_Res3Work]]&gt;0),Tasks[[#This Row],[_Res3Work]]/(Tasks[[#This Row],[_FinishWorkday]]-Tasks[[#This Row],[_StartWorkday]]+1),0)</f>
        <v>0</v>
      </c>
      <c r="DY30" s="42" t="n">
        <f aca="false">Tasks[[#This Row],[_Res3WorkPerWD]]*MAX(0,Tasks[[#This Row],[_StartWorkday]]-1)</f>
        <v>0</v>
      </c>
      <c r="DZ30" s="42" t="n">
        <f aca="false">Tasks[[#This Row],[_Res3Work]]*Tasks[[#This Row],[_LeafProgress]]</f>
        <v>0</v>
      </c>
      <c r="EA30" s="42" t="str">
        <f aca="false">IF(Tasks[[#This Row],[_Res4Text]]="","",IF(Tasks[[#This Row],[_Res4Row]]&gt;0,INDEX(res_Name,Tasks[[#This Row],[_Res4Row]]),TRIM(LEFT(Tasks[[#This Row],[_Res4Text]],FIND("[",Tasks[[#This Row],[_Res4Text]]&amp;"[")-1))))</f>
        <v/>
      </c>
      <c r="EB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0" s="42" t="n">
        <f aca="false">IF(OR(NOT(Tasks[[#This Row],[_IsLeaf]]=1),Tasks[[#This Row],[_Res4Row]]=0),0,N(Tasks[[#This Row],[_Days]])*HoursPerDay*IF(Tasks[[#This Row],[_Res4Units]]="",DefaultUnits,Tasks[[#This Row],[_Res4Units]]))</f>
        <v>0</v>
      </c>
      <c r="ED30" s="42" t="n">
        <f aca="false">IF(AND(AND(Tasks[[#This Row],[_IsLeaf]]=1,Tasks[[#This Row],[_LeafTotalWork]]&gt;0),Tasks[[#This Row],[_Res4Work]]&gt;0),Tasks[[#This Row],[_Res4Work]]/(Tasks[[#This Row],[_FinishWorkday]]-Tasks[[#This Row],[_StartWorkday]]+1),0)</f>
        <v>0</v>
      </c>
      <c r="EE30" s="42" t="n">
        <f aca="false">Tasks[[#This Row],[_Res4WorkPerWD]]*MAX(0,Tasks[[#This Row],[_StartWorkday]]-1)</f>
        <v>0</v>
      </c>
      <c r="EF30" s="42" t="n">
        <f aca="false">Tasks[[#This Row],[_Res4Work]]*Tasks[[#This Row],[_LeafProgress]]</f>
        <v>0</v>
      </c>
      <c r="EG30" s="42" t="n">
        <f aca="false">IF(ISNUMBER(Tasks[[#This Row],[% Complete]]),Tasks[[#This Row],[% Complete]],IF(Tasks[[#This Row],[Stage]]="",0,IFERROR(INDEX(stg_Pct,MATCH(Tasks[[#This Row],[Stage]],stg_Name,0)),0)))</f>
        <v>0</v>
      </c>
      <c r="EH30" s="42" t="n">
        <f aca="false">IF(NOT(Tasks[[#This Row],[_IsLeaf]]=1),0,IF(N(Tasks[[#This Row],[Actual Finish]])&gt;0,1,MIN(1,Tasks[[#This Row],[_Pct]])))</f>
        <v>0</v>
      </c>
      <c r="EI30" s="42" t="n">
        <f aca="false">IF(OR(NOT(Tasks[[#This Row],[_IsLeaf]]=1),Tasks[[#This Row],[_Res1Row]]=0),0,N(Tasks[[#This Row],[_Days]])*HoursPerDay*IF(Tasks[[#This Row],[_Units1]]="",DefaultUnits,Tasks[[#This Row],[_Units1]]))</f>
        <v>0</v>
      </c>
      <c r="EJ30" s="42" t="n">
        <f aca="false">Tasks[[#This Row],[_LeafWork]]+Tasks[[#This Row],[_Res2Work]]+Tasks[[#This Row],[_Res3Work]]+Tasks[[#This Row],[_Res4Work]]</f>
        <v>0</v>
      </c>
      <c r="EK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0" s="42" t="n">
        <f aca="false">IF(NOT(Tasks[[#This Row],[_IsLeaf]]=1),0,MAX(_xlfn.MAXIFS(Tasks[_Row],Tasks[_Pred1UID],Tasks[[#This Row],[UID]]),_xlfn.MAXIFS(Tasks[_Row],Tasks[_Pred2UID],Tasks[[#This Row],[UID]]),_xlfn.MAXIFS(Tasks[_Row],Tasks[_Pred3UID],Tasks[[#This Row],[UID]]),_xlfn.MAXIFS(Tasks[_Row],Tasks[_Pred4UID],Tasks[[#This Row],[UID]])))</f>
        <v>0</v>
      </c>
      <c r="ET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0" s="89" t="str">
        <f aca="false">IF(NOT(Tasks[[#This Row],[_IsLeaf]]=1),"",IF(N(Tasks[[#This Row],[_Days]])&lt;=0,Tasks[[#This Row],[_LeafLateFinish]],WORKDAY.INTL(Tasks[[#This Row],[_LeafLateFinish]],-(Tasks[[#This Row],[_Days]]-1),WorkWeek,Holidays)))</f>
        <v/>
      </c>
      <c r="EW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0" s="88" t="b">
        <f aca="false">AND(Tasks[[#This Row],[_IsLeaf]]=1,Tasks[[#This Row],[_LeafProgress]]&lt;1,N(Tasks[[#This Row],[_LeafTotalSlack]])&lt;=CriticalSlackDays)</f>
        <v>0</v>
      </c>
      <c r="EY30" s="42" t="n">
        <f aca="false">IF(AND(Tasks[[#This Row],[_IsLeaf]]=1,Tasks[[#This Row],[_ConstraintCode]]=1,Tasks[[#This Row],[Mode]]&lt;&gt;"Manual",N(Tasks[[#This Row],[Actual Start]])=0),MAX(0,N(Tasks[[#This Row],[Free Slack]])),0)</f>
        <v>0</v>
      </c>
      <c r="EZ30" s="89" t="str">
        <f aca="false">IF(NOT(Tasks[[#This Row],[_IsLeaf]]=1),"",IF(Tasks[[#This Row],[_AlapShift]]=0,Tasks[[#This Row],[_LeafCalcStart]],WORKDAY.INTL(Tasks[[#This Row],[_LeafCalcStart]],Tasks[[#This Row],[_AlapShift]],WorkWeek,Holidays)))</f>
        <v/>
      </c>
      <c r="FA30" s="89" t="str">
        <f aca="false">IF(NOT(Tasks[[#This Row],[_IsLeaf]]=1),"",IF(Tasks[[#This Row],[_AlapShift]]=0,Tasks[[#This Row],[_LeafCalcFinish]],WORKDAY.INTL(Tasks[[#This Row],[_LeafCalcFinish]],Tasks[[#This Row],[_AlapShift]],WorkWeek,Holidays)))</f>
        <v/>
      </c>
      <c r="FB30" s="89" t="str">
        <f aca="false">IF(NOT(Tasks[[#This Row],[_IsLeaf]]=1),"",IF(Tasks[[#This Row],[_AlapShift]]=0,Tasks[[#This Row],[_LeafFcstStart]],WORKDAY.INTL(Tasks[[#This Row],[_LeafFcstStart]],Tasks[[#This Row],[_AlapShift]],WorkWeek,Holidays)))</f>
        <v/>
      </c>
      <c r="FC30" s="89" t="str">
        <f aca="false">IF(NOT(Tasks[[#This Row],[_IsLeaf]]=1),"",IF(Tasks[[#This Row],[_AlapShift]]=0,Tasks[[#This Row],[_LeafFcstFinish]],WORKDAY.INTL(Tasks[[#This Row],[_LeafFcstFinish]],Tasks[[#This Row],[_AlapShift]],WorkWeek,Holidays)))</f>
        <v/>
      </c>
      <c r="FD30" s="89" t="str">
        <f aca="false">IF(Tasks[[#This Row],[Task Name]]="","",IF(Tasks[[#This Row],[_IsSummary]],MIN(INDEX(Tasks[_ShownCalcStart],Tasks[[#This Row],[_Row]]+1):INDEX(Tasks[_ShownCalcStart],Tasks[[#This Row],[_Row]]+Tasks[[#This Row],[_Descendants]])),Tasks[[#This Row],[_ShownCalcStart]]))</f>
        <v/>
      </c>
      <c r="FE30" s="89" t="str">
        <f aca="false">IF(Tasks[[#This Row],[Task Name]]="","",IF(Tasks[[#This Row],[_IsSummary]],MAX(INDEX(Tasks[_ShownCalcFinish],Tasks[[#This Row],[_Row]]+1):INDEX(Tasks[_ShownCalcFinish],Tasks[[#This Row],[_Row]]+Tasks[[#This Row],[_Descendants]])),Tasks[[#This Row],[_ShownCalcFinish]]))</f>
        <v/>
      </c>
      <c r="FF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0" s="42" t="n">
        <f aca="false">IF(AND(Tasks[[#This Row],[_IsLeaf]]=1,Tasks[[#This Row],[_LeafTotalWork]]&gt;0),NETWORKDAYS.INTL(ProjectStart,Tasks[[#This Row],[_ShownFcstStart]],WorkWeek,Holidays),0)</f>
        <v>0</v>
      </c>
      <c r="FS30" s="42" t="n">
        <f aca="false">IF(AND(Tasks[[#This Row],[_IsLeaf]]=1,Tasks[[#This Row],[_LeafTotalWork]]&gt;0),MAX(Tasks[[#This Row],[_StartWorkday]],NETWORKDAYS.INTL(ProjectStart,Tasks[[#This Row],[_ShownFcstFinish]],WorkWeek,Holidays)),0)</f>
        <v>0</v>
      </c>
      <c r="FT30" s="42" t="n">
        <f aca="false">IF(AND(Tasks[[#This Row],[_IsLeaf]]=1,Tasks[[#This Row],[_LeafTotalWork]]&gt;0),Tasks[[#This Row],[_LeafWork]]/(Tasks[[#This Row],[_FinishWorkday]]-Tasks[[#This Row],[_StartWorkday]]+1),0)</f>
        <v>0</v>
      </c>
      <c r="FU30" s="42" t="n">
        <f aca="false">Tasks[[#This Row],[_WorkPerWorkday]]*(Tasks[[#This Row],[_StartWorkday]]-1)</f>
        <v>-0</v>
      </c>
      <c r="FV30" s="42" t="n">
        <f aca="false">IF(Tasks[[#This Row],[_IsLeaf]]=1,MAX(N(Tasks[[#This Row],[_Days]]),0.1),0)</f>
        <v>0</v>
      </c>
      <c r="FW30" s="42" t="n">
        <f aca="false">Tasks[[#This Row],[_WeightDur]]*Tasks[[#This Row],[_LeafProgress]]</f>
        <v>0</v>
      </c>
      <c r="FX30" s="42" t="n">
        <f aca="false">Tasks[[#This Row],[_WeightDur]]*Tasks[[#This Row],[_PlannedPct]]</f>
        <v>0</v>
      </c>
      <c r="FY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0" s="42" t="str">
        <f aca="false">IF(AND(Tasks[[#This Row],[_IsLeaf]]=1,N(Tasks[[#This Row],[_Days]])=0,Tasks[[#This Row],[_LeafProgress]]&lt;1),Tasks[[#This Row],[_ShownFcstFinish]]+Tasks[[#This Row],[_Row]]/100000,"")</f>
        <v/>
      </c>
      <c r="GA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0" s="42" t="str">
        <f aca="false">IF(Tasks[[#This Row],[Task Name]]="","",LEFT(Tasks[[#This Row],[WBS]],FIND(".",Tasks[[#This Row],[WBS]]&amp;".")-1))</f>
        <v/>
      </c>
      <c r="GC30" s="42" t="str">
        <f aca="false">IF(AND(Tasks[[#This Row],[Task Name]]&lt;&gt;"",Tasks[[#This Row],[_Level]]=1),Tasks[[#This Row],[_Row]],"")</f>
        <v/>
      </c>
      <c r="GD30" s="42" t="str">
        <f aca="false">IF(AND(Tasks[[#This Row],[_IsLeaf]]=1,N(Tasks[[#This Row],[_Days]])=0),Tasks[[#This Row],[Planned Finish]]+Tasks[[#This Row],[_Row]]/100000,"")</f>
        <v/>
      </c>
      <c r="GE30" s="42" t="str">
        <f aca="false">IF(AND(Tasks[[#This Row],[_IsLeaf]]=1,Tasks[[#This Row],[_LeafProgress]]&lt;1,OR(N(Tasks[[#This Row],[Finish Var]])&gt;0,Tasks[[#This Row],[Status]]="Late Start")),MAX(0,Tasks[[#This Row],[Finish Var]])+1-Tasks[[#This Row],[_Row]]/1000000,"")</f>
        <v/>
      </c>
      <c r="GF30" s="42" t="str">
        <f aca="false">IF(AND(Tasks[[#This Row],[_IsLeaf]]=1,N(Tasks[[#This Row],[Actual Start]])=0,Tasks[[#This Row],[_ShownFcstStart]]&gt;=StatusDate,Tasks[[#This Row],[_ShownFcstStart]]&lt;=LookaheadEnd),Tasks[[#This Row],[_ShownFcstStart]]+Tasks[[#This Row],[_Row]]/100000,"")</f>
        <v/>
      </c>
      <c r="GG30" s="42" t="str">
        <f aca="false">IF(AND(Tasks[[#This Row],[_IsLeaf]]=1,Tasks[[#This Row],[_LeafProgress]]&lt;1,Tasks[[#This Row],[_ShownFcstFinish]]&gt;=StatusDate,Tasks[[#This Row],[_ShownFcstFinish]]&lt;=LookaheadEnd),Tasks[[#This Row],[_ShownFcstFinish]]+Tasks[[#This Row],[_Row]]/100000,"")</f>
        <v/>
      </c>
      <c r="GH30" s="42" t="str">
        <f aca="false">IF(Tasks[[#This Row],[_LeafCritical]],Tasks[[#This Row],[_ShownFcstStart]]+Tasks[[#This Row],[_Row]]/100000,"")</f>
        <v/>
      </c>
      <c r="GI30" s="42" t="n">
        <f aca="false">Tasks[[#This Row],[_LeafWork]]*Tasks[[#This Row],[_LeafProgress]]</f>
        <v>0</v>
      </c>
      <c r="GJ30" s="89" t="str">
        <f aca="false">IF(AND(Tasks[[#This Row],[_IsLeaf]]=1,Tasks[[#This Row],[_LeafProgress]]&gt;=1),IF(N(Tasks[[#This Row],[Actual Finish]])&gt;0,Tasks[[#This Row],[Actual Finish]],Tasks[[#This Row],[_ShownFcstFinish]]),"")</f>
        <v/>
      </c>
      <c r="GK30" s="42" t="n">
        <f aca="false">IF(Tasks[[#This Row],[_IsLeaf]]=1,N(Tasks[[#This Row],[Story Points]]),0)</f>
        <v>0</v>
      </c>
      <c r="GL30" s="42" t="str">
        <f aca="false">""</f>
        <v/>
      </c>
      <c r="GM30" s="88" t="b">
        <f aca="false">IF(Tasks[[#This Row],[Task Name]]="",FALSE(),AND(Tasks[[#This Row],[_IsLeaf]]=1,N(Tasks[[#This Row],[_Days]])=0))</f>
        <v>0</v>
      </c>
      <c r="GN30" s="89" t="n">
        <f aca="false">IF(Tasks[[#This Row],[Task Name]]="",0,IF(AND(Tasks[[#This Row],[_IsLeaf]]=1,NOT(Tasks[[#This Row],[_IsMilestone]]),N(Tasks[[#This Row],[Progress]])&gt;0),Tasks[[#This Row],[Start]],0))</f>
        <v>0</v>
      </c>
      <c r="GO30" s="89" t="n">
        <f aca="false">IF(Tasks[[#This Row],[_DoneFrom]]=0,0,IF(Tasks[[#This Row],[Progress]]&gt;=1,Tasks[[#This Row],[Finish]],MAX(Tasks[[#This Row],[_DoneFrom]],Tasks[[#This Row],[Start]]+ROUND((Tasks[[#This Row],[Finish]]-Tasks[[#This Row],[Start]]+1)*Tasks[[#This Row],[Progress]],0)-1)))</f>
        <v>0</v>
      </c>
      <c r="GP30" s="89" t="n">
        <f aca="false">IF(Tasks[[#This Row],[Task Name]]="",0,IF(OR(NOT(Tasks[[#This Row],[_IsLeaf]]=1),Tasks[[#This Row],[_IsMilestone]],N(Tasks[[#This Row],[Progress]])&gt;=1),0,IF(Tasks[[#This Row],[_DoneTo]]&gt;0,Tasks[[#This Row],[_DoneTo]]+1,Tasks[[#This Row],[Start]])))</f>
        <v>0</v>
      </c>
      <c r="GQ30" s="89" t="n">
        <f aca="false">IF(Tasks[[#This Row],[_RemFrom]]=0,0,Tasks[[#This Row],[Finish]])</f>
        <v>0</v>
      </c>
      <c r="GR30" s="88" t="b">
        <f aca="false">IF(Tasks[[#This Row],[Task Name]]="",FALSE(),OR(NOT(BaselineSet),N(Tasks[[#This Row],[Baseline Start]])&gt;0))</f>
        <v>0</v>
      </c>
      <c r="GS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0" s="90" t="str">
        <f aca="false">IF(Tasks[[#This Row],[_IsLeaf]]=1,Tasks[[#This Row],[_Row]],"")</f>
        <v/>
      </c>
      <c r="GW30" s="90" t="str">
        <f aca="false">IFERROR(INDEX(Tasks[UID],SMALL(Tasks[_PickKey],Tasks[[#This Row],[_Row]]))&amp;" "&amp;INDEX(Tasks[Task Name],SMALL(Tasks[_PickKey],Tasks[[#This Row],[_Row]])),"")</f>
        <v/>
      </c>
      <c r="GX30" s="42" t="str">
        <f aca="false">IF(Tasks[[#This Row],[Task Name]]="","",IF(Tasks[[#This Row],[_IsSummary]],NETWORKDAYS.INTL(Tasks[[#This Row],[Start]],Tasks[[#This Row],[Finish]],WorkWeek,Holidays),N(Tasks[[#This Row],[_Days]])))</f>
        <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3"/>
      <c r="U31" s="23"/>
      <c r="V31" s="83"/>
      <c r="W31" s="23"/>
      <c r="X31" s="83"/>
      <c r="Y31" s="23"/>
      <c r="Z31" s="83"/>
      <c r="AA31" s="23"/>
      <c r="AB31" s="23"/>
      <c r="AC31" s="7"/>
      <c r="AD31" s="7"/>
      <c r="AE31" s="62" t="str">
        <f aca="false">IF(Tasks[[#This Row],[Task Name]]="","",IF(Tasks[[#This Row],[_IsSummary]],MIN(INDEX(Tasks[_ShownFcstStart],Tasks[[#This Row],[_Row]]+1):INDEX(Tasks[_ShownFcstStart],Tasks[[#This Row],[_Row]]+Tasks[[#This Row],[_Descendants]])),Tasks[[#This Row],[_ShownFcstStart]]))</f>
        <v/>
      </c>
      <c r="AF31" s="62"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1" s="7"/>
      <c r="AK31" s="22"/>
      <c r="AL31" s="23"/>
      <c r="AM31" s="7"/>
      <c r="AN31" s="46"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2" t="str">
        <f aca="false">IF(Tasks[[#This Row],[Task Name]]="","",IF(N(Tasks[[#This Row],[Baseline Start]])&gt;0,Tasks[[#This Row],[Baseline Start]],Tasks[[#This Row],[_CalcStart]]))</f>
        <v/>
      </c>
      <c r="AR31" s="62" t="str">
        <f aca="false">IF(Tasks[[#This Row],[Task Name]]="","",IF(N(Tasks[[#This Row],[Baseline Finish]])&gt;0,Tasks[[#This Row],[Baseline Finish]],Tasks[[#This Row],[_CalcFinish]]))</f>
        <v/>
      </c>
      <c r="AS31" s="46" t="str">
        <f aca="false">IF(Tasks[[#This Row],[Task Name]]="","",IF(Tasks[[#This Row],[Start]]&gt;=Tasks[[#This Row],[Planned Start]],NETWORKDAYS.INTL(Tasks[[#This Row],[Planned Start]],Tasks[[#This Row],[Start]],WorkWeek,Holidays)-1,1-NETWORKDAYS.INTL(Tasks[[#This Row],[Start]],Tasks[[#This Row],[Planned Start]],WorkWeek,Holidays)))</f>
        <v/>
      </c>
      <c r="AT31" s="62" t="str">
        <f aca="false">IF(Tasks[[#This Row],[Task Name]]="","",IF(Tasks[[#This Row],[_IsSummary]],MIN(INDEX(Tasks[_LeafLateStart],Tasks[[#This Row],[_Row]]+1):INDEX(Tasks[_LeafLateStart],Tasks[[#This Row],[_Row]]+Tasks[[#This Row],[_Descendants]])),Tasks[[#This Row],[_LeafLateStart]]))</f>
        <v/>
      </c>
      <c r="AU31" s="62" t="str">
        <f aca="false">IF(Tasks[[#This Row],[Task Name]]="","",IF(Tasks[[#This Row],[_IsSummary]],MAX(INDEX(Tasks[_LeafLateFinish],Tasks[[#This Row],[_Row]]+1):INDEX(Tasks[_LeafLateFinish],Tasks[[#This Row],[_Row]]+Tasks[[#This Row],[_Descendants]])),Tasks[[#This Row],[_LeafLateFinish]]))</f>
        <v/>
      </c>
      <c r="AV31" s="46"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4"/>
      <c r="BA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5"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6"/>
      <c r="BJ31" s="22"/>
      <c r="BK31" s="46" t="str">
        <f aca="false">IF(OR(Tasks[[#This Row],[Task Name]]="",Tasks[[#This Row],[Baseline Duration]]=""),"",Tasks[[#This Row],[_SpanDays]]-N(Tasks[[#This Row],[Baseline Duration]]))</f>
        <v/>
      </c>
      <c r="BL31" s="85" t="str">
        <f aca="false">IF(OR(Tasks[[#This Row],[Task Name]]="",Tasks[[#This Row],[Baseline Work]]=""),"",Tasks[[#This Row],[Work]]-N(Tasks[[#This Row],[Baseline Work]]))</f>
        <v/>
      </c>
      <c r="BM31" s="62" t="str">
        <f aca="false">IF(Tasks[[#This Row],[Task Name]]="","",IF(OR(TakeBaseline="Yes",N(Tasks[[#This Row],[Baseline Start]])=0),Tasks[[#This Row],[Start]],Tasks[[#This Row],[Baseline Start]]))</f>
        <v/>
      </c>
      <c r="BN31" s="62"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5" t="str">
        <f aca="false">IF(Tasks[[#This Row],[Task Name]]="","",IF(OR(TakeBaseline="Yes",N(Tasks[[#This Row],[Baseline Work]])=0),Tasks[[#This Row],[Work]],Tasks[[#This Row],[Baseline Work]]))</f>
        <v/>
      </c>
      <c r="BQ31" s="7"/>
      <c r="BR31" s="7"/>
      <c r="BS31" s="22"/>
      <c r="BT31" s="87"/>
      <c r="BU31" s="42" t="str">
        <f aca="false">IF(Tasks[[#This Row],[Task Name]]="","",MAX(1,N(Tasks[[#This Row],[Level]])))</f>
        <v/>
      </c>
      <c r="BV31" s="42" t="n">
        <f aca="false">ROW()-ROW(Tasks[[#Headers],[ID]])</f>
        <v>26</v>
      </c>
      <c r="BW31" s="42" t="n">
        <f aca="false">IF(OR(Tasks[[#This Row],[Task Name]]="",Tasks[[#This Row],[_Level]]&lt;=1),0,IFERROR(LOOKUP(2,1/(Tasks[[#Headers],[_Level]]:Tasks[[#This Row],[_Level]]=Tasks[[#This Row],[_Level]]-1),ROW(Tasks[[#Headers],[_Level]]:Tasks[[#This Row],[_Level]])),0))</f>
        <v>0</v>
      </c>
      <c r="BX31" s="42" t="n">
        <f aca="false">IFERROR(N(INDEX(Tasks[_Level],Tasks[[#This Row],[_Row]]+1)),0)</f>
        <v>0</v>
      </c>
      <c r="BY31" s="88" t="b">
        <f aca="false">AND(Tasks[[#This Row],[Task Name]]&lt;&gt;"",Tasks[[#This Row],[_NextLevel]]&gt;Tasks[[#This Row],[_Level]])</f>
        <v>0</v>
      </c>
      <c r="BZ31" s="42" t="n">
        <f aca="false">IF(Tasks[[#This Row],[_IsSummary]],COUNTIF(Tasks[WBS],Tasks[[#This Row],[WBS]]&amp;".*"),0)</f>
        <v>0</v>
      </c>
      <c r="CA31" s="42" t="n">
        <f aca="false">IF(AND(Tasks[[#This Row],[Task Name]]&lt;&gt;"",NOT(Tasks[[#This Row],[_IsSummary]])),1,0)</f>
        <v>0</v>
      </c>
      <c r="CB31" s="42" t="n">
        <f aca="false">IF(N(Tasks[[#This Row],[_Pred1UID]])=0,0,IFERROR(MATCH(Tasks[[#This Row],[_Pred1UID]],Tasks[UID],0),-1))</f>
        <v>0</v>
      </c>
      <c r="CC31" s="42" t="n">
        <f aca="false">IF(N(Tasks[[#This Row],[_Pred2UID]])=0,0,IFERROR(MATCH(Tasks[[#This Row],[_Pred2UID]],Tasks[UID],0),-1))</f>
        <v>0</v>
      </c>
      <c r="CD31" s="42" t="n">
        <f aca="false">IF(N(Tasks[[#This Row],[_Pred3UID]])=0,0,IFERROR(MATCH(Tasks[[#This Row],[_Pred3UID]],Tasks[UID],0),-1))</f>
        <v>0</v>
      </c>
      <c r="CE31" s="42" t="n">
        <f aca="false">IF(N(Tasks[[#This Row],[_Pred4UID]])=0,0,IFERROR(MATCH(Tasks[[#This Row],[_Pred4UID]],Tasks[UID],0),-1))</f>
        <v>0</v>
      </c>
      <c r="CF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1" s="89" t="n">
        <f aca="false">IF(OR(Tasks[[#This Row],[_ConstraintCode]]=2,Tasks[[#This Row],[_ConstraintCode]]=3,Tasks[[#This Row],[_ConstraintCode]]=4,Tasks[[#This Row],[_ConstraintCode]]=6),Tasks[[#This Row],[_ConstraintStart]],0)</f>
        <v>0</v>
      </c>
      <c r="CI31" s="89" t="n">
        <f aca="false">IF(OR(Tasks[[#This Row],[_ConstraintCode]]=2,Tasks[[#This Row],[_ConstraintCode]]=3,Tasks[[#This Row],[_ConstraintCode]]=5,Tasks[[#This Row],[_ConstraintCode]]=7),Tasks[[#This Row],[_ConstraintStart]],2958465)</f>
        <v>2958465</v>
      </c>
      <c r="CJ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1" s="89" t="str">
        <f aca="false">IF(NOT(Tasks[[#This Row],[_IsLeaf]]=1),"",IF(N(Tasks[[#This Row],[_Days]])&lt;=0,Tasks[[#This Row],[_LeafCalcStart]],WORKDAY.INTL(Tasks[[#This Row],[_LeafCalcStart]],Tasks[[#This Row],[_Days]]-1,WorkWeek,Holidays)))</f>
        <v/>
      </c>
      <c r="CL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1" s="42" t="str">
        <f aca="false">IF(Tasks[[#This Row],[_Predecessors]]="","",TRIM(MID(SUBSTITUTE(SUBSTITUTE(SUBSTITUTE(UPPER(Tasks[[#This Row],[_Predecessors]]),";",",")," ",""),",",REPT(" ",99)),1,99)))</f>
        <v/>
      </c>
      <c r="CO31" s="42" t="str">
        <f aca="false">IF(Tasks[[#This Row],[_Pred1Text]]="","",IFERROR(VALUE(LEFT(Tasks[[#This Row],[_Pred1Text]],MIN(FIND("F",Tasks[[#This Row],[_Pred1Text]]&amp;"F"),FIND("S",Tasks[[#This Row],[_Pred1Text]]&amp;"S"),FIND("+",Tasks[[#This Row],[_Pred1Text]]&amp;"+"),FIND("-",Tasks[[#This Row],[_Pred1Text]]&amp;"-"))-1)),""))</f>
        <v/>
      </c>
      <c r="CP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1" s="42" t="str">
        <f aca="false">IF(Tasks[[#This Row],[_Pred1Text]]="","",TRIM(MID(SUBSTITUTE(SUBSTITUTE(SUBSTITUTE(UPPER(Tasks[[#This Row],[_Predecessors]]),";",",")," ",""),",",REPT(" ",99)),100,99)))</f>
        <v/>
      </c>
      <c r="CS31" s="42" t="str">
        <f aca="false">IF(Tasks[[#This Row],[_Pred2Text]]="","",IFERROR(VALUE(LEFT(Tasks[[#This Row],[_Pred2Text]],MIN(FIND("F",Tasks[[#This Row],[_Pred2Text]]&amp;"F"),FIND("S",Tasks[[#This Row],[_Pred2Text]]&amp;"S"),FIND("+",Tasks[[#This Row],[_Pred2Text]]&amp;"+"),FIND("-",Tasks[[#This Row],[_Pred2Text]]&amp;"-"))-1)),""))</f>
        <v/>
      </c>
      <c r="CT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1" s="42" t="str">
        <f aca="false">IF(Tasks[[#This Row],[_Pred2Text]]="","",TRIM(MID(SUBSTITUTE(SUBSTITUTE(SUBSTITUTE(UPPER(Tasks[[#This Row],[_Predecessors]]),";",",")," ",""),",",REPT(" ",99)),199,99)))</f>
        <v/>
      </c>
      <c r="CW31" s="42" t="str">
        <f aca="false">IF(Tasks[[#This Row],[_Pred3Text]]="","",IFERROR(VALUE(LEFT(Tasks[[#This Row],[_Pred3Text]],MIN(FIND("F",Tasks[[#This Row],[_Pred3Text]]&amp;"F"),FIND("S",Tasks[[#This Row],[_Pred3Text]]&amp;"S"),FIND("+",Tasks[[#This Row],[_Pred3Text]]&amp;"+"),FIND("-",Tasks[[#This Row],[_Pred3Text]]&amp;"-"))-1)),""))</f>
        <v/>
      </c>
      <c r="CX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1" s="42" t="str">
        <f aca="false">IF(Tasks[[#This Row],[_Pred3Text]]="","",TRIM(MID(SUBSTITUTE(SUBSTITUTE(SUBSTITUTE(UPPER(Tasks[[#This Row],[_Predecessors]]),";",",")," ",""),",",REPT(" ",99)),298,99)))</f>
        <v/>
      </c>
      <c r="DA31" s="42" t="str">
        <f aca="false">IF(Tasks[[#This Row],[_Pred4Text]]="","",IFERROR(VALUE(LEFT(Tasks[[#This Row],[_Pred4Text]],MIN(FIND("F",Tasks[[#This Row],[_Pred4Text]]&amp;"F"),FIND("S",Tasks[[#This Row],[_Pred4Text]]&amp;"S"),FIND("+",Tasks[[#This Row],[_Pred4Text]]&amp;"+"),FIND("-",Tasks[[#This Row],[_Pred4Text]]&amp;"-"))-1)),""))</f>
        <v/>
      </c>
      <c r="DB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1" s="42" t="str">
        <f aca="false">IF(OR(Tasks[[#This Row],[Task Name]]="",Tasks[[#This Row],[_Resources]]=""),"",TRIM(MID(SUBSTITUTE(Tasks[[#This Row],[_Resources]],",",REPT(" ",99)),1,99)))</f>
        <v/>
      </c>
      <c r="DE31" s="42" t="str">
        <f aca="false">IF(Tasks[[#This Row],[_Res1Text]]="","",TRIM(MID(SUBSTITUTE(Tasks[[#This Row],[_Resources]],",",REPT(" ",99)),100,99)))</f>
        <v/>
      </c>
      <c r="DF31" s="42" t="str">
        <f aca="false">IF(Tasks[[#This Row],[_Res2Text]]="","",TRIM(MID(SUBSTITUTE(Tasks[[#This Row],[_Resources]],",",REPT(" ",99)),199,99)))</f>
        <v/>
      </c>
      <c r="DG31" s="42" t="str">
        <f aca="false">IF(Tasks[[#This Row],[_Res3Text]]="","",TRIM(MID(SUBSTITUTE(Tasks[[#This Row],[_Resources]],",",REPT(" ",99)),298,99)))</f>
        <v/>
      </c>
      <c r="DH31" s="42" t="n">
        <f aca="false">IF(Tasks[[#This Row],[_Res1Text]]="",0,IFERROR(MATCH(TRIM(LEFT(Tasks[[#This Row],[_Res1Text]],FIND("[",Tasks[[#This Row],[_Res1Text]]&amp;"[")-1)),res_Name,0),IFERROR(MATCH(TRIM(LEFT(Tasks[[#This Row],[_Res1Text]],FIND("[",Tasks[[#This Row],[_Res1Text]]&amp;"[")-1)),res_Initials,0),0)))</f>
        <v>0</v>
      </c>
      <c r="DI31" s="42" t="n">
        <f aca="false">IF(Tasks[[#This Row],[_Res2Text]]="",0,IFERROR(MATCH(TRIM(LEFT(Tasks[[#This Row],[_Res2Text]],FIND("[",Tasks[[#This Row],[_Res2Text]]&amp;"[")-1)),res_Name,0),IFERROR(MATCH(TRIM(LEFT(Tasks[[#This Row],[_Res2Text]],FIND("[",Tasks[[#This Row],[_Res2Text]]&amp;"[")-1)),res_Initials,0),0)))</f>
        <v>0</v>
      </c>
      <c r="DJ31" s="42" t="n">
        <f aca="false">IF(Tasks[[#This Row],[_Res3Text]]="",0,IFERROR(MATCH(TRIM(LEFT(Tasks[[#This Row],[_Res3Text]],FIND("[",Tasks[[#This Row],[_Res3Text]]&amp;"[")-1)),res_Name,0),IFERROR(MATCH(TRIM(LEFT(Tasks[[#This Row],[_Res3Text]],FIND("[",Tasks[[#This Row],[_Res3Text]]&amp;"[")-1)),res_Initials,0),0)))</f>
        <v>0</v>
      </c>
      <c r="DK31" s="42" t="n">
        <f aca="false">IF(Tasks[[#This Row],[_Res4Text]]="",0,IFERROR(MATCH(TRIM(LEFT(Tasks[[#This Row],[_Res4Text]],FIND("[",Tasks[[#This Row],[_Res4Text]]&amp;"[")-1)),res_Name,0),IFERROR(MATCH(TRIM(LEFT(Tasks[[#This Row],[_Res4Text]],FIND("[",Tasks[[#This Row],[_Res4Text]]&amp;"[")-1)),res_Initials,0),0)))</f>
        <v>0</v>
      </c>
      <c r="DL31" s="42" t="str">
        <f aca="false">IF(Tasks[[#This Row],[_Res1Text]]="","",IF(Tasks[[#This Row],[_Res1Row]]&gt;0,INDEX(res_Name,Tasks[[#This Row],[_Res1Row]]),TRIM(LEFT(Tasks[[#This Row],[_Res1Text]],FIND("[",Tasks[[#This Row],[_Res1Text]]&amp;"[")-1))))</f>
        <v/>
      </c>
      <c r="DM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1" s="42" t="n">
        <f aca="false">IF(NOT(Tasks[[#This Row],[_IsLeaf]]=1),0,(Tasks[[#This Row],[_Resource1]]&lt;&gt;"")+(Tasks[[#This Row],[_Res2]]&lt;&gt;"")+(Tasks[[#This Row],[_Res3]]&lt;&gt;"")+(Tasks[[#This Row],[_Res4]]&lt;&gt;""))</f>
        <v>0</v>
      </c>
      <c r="DO31" s="42" t="str">
        <f aca="false">IF(Tasks[[#This Row],[_Res2Text]]="","",IF(Tasks[[#This Row],[_Res2Row]]&gt;0,INDEX(res_Name,Tasks[[#This Row],[_Res2Row]]),TRIM(LEFT(Tasks[[#This Row],[_Res2Text]],FIND("[",Tasks[[#This Row],[_Res2Text]]&amp;"[")-1))))</f>
        <v/>
      </c>
      <c r="DP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1" s="42" t="n">
        <f aca="false">IF(OR(NOT(Tasks[[#This Row],[_IsLeaf]]=1),Tasks[[#This Row],[_Res2Row]]=0),0,N(Tasks[[#This Row],[_Days]])*HoursPerDay*IF(Tasks[[#This Row],[_Res2Units]]="",DefaultUnits,Tasks[[#This Row],[_Res2Units]]))</f>
        <v>0</v>
      </c>
      <c r="DR31" s="42" t="n">
        <f aca="false">IF(AND(AND(Tasks[[#This Row],[_IsLeaf]]=1,Tasks[[#This Row],[_LeafTotalWork]]&gt;0),Tasks[[#This Row],[_Res2Work]]&gt;0),Tasks[[#This Row],[_Res2Work]]/(Tasks[[#This Row],[_FinishWorkday]]-Tasks[[#This Row],[_StartWorkday]]+1),0)</f>
        <v>0</v>
      </c>
      <c r="DS31" s="42" t="n">
        <f aca="false">Tasks[[#This Row],[_Res2WorkPerWD]]*MAX(0,Tasks[[#This Row],[_StartWorkday]]-1)</f>
        <v>0</v>
      </c>
      <c r="DT31" s="42" t="n">
        <f aca="false">Tasks[[#This Row],[_Res2Work]]*Tasks[[#This Row],[_LeafProgress]]</f>
        <v>0</v>
      </c>
      <c r="DU31" s="42" t="str">
        <f aca="false">IF(Tasks[[#This Row],[_Res3Text]]="","",IF(Tasks[[#This Row],[_Res3Row]]&gt;0,INDEX(res_Name,Tasks[[#This Row],[_Res3Row]]),TRIM(LEFT(Tasks[[#This Row],[_Res3Text]],FIND("[",Tasks[[#This Row],[_Res3Text]]&amp;"[")-1))))</f>
        <v/>
      </c>
      <c r="DV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1" s="42" t="n">
        <f aca="false">IF(OR(NOT(Tasks[[#This Row],[_IsLeaf]]=1),Tasks[[#This Row],[_Res3Row]]=0),0,N(Tasks[[#This Row],[_Days]])*HoursPerDay*IF(Tasks[[#This Row],[_Res3Units]]="",DefaultUnits,Tasks[[#This Row],[_Res3Units]]))</f>
        <v>0</v>
      </c>
      <c r="DX31" s="42" t="n">
        <f aca="false">IF(AND(AND(Tasks[[#This Row],[_IsLeaf]]=1,Tasks[[#This Row],[_LeafTotalWork]]&gt;0),Tasks[[#This Row],[_Res3Work]]&gt;0),Tasks[[#This Row],[_Res3Work]]/(Tasks[[#This Row],[_FinishWorkday]]-Tasks[[#This Row],[_StartWorkday]]+1),0)</f>
        <v>0</v>
      </c>
      <c r="DY31" s="42" t="n">
        <f aca="false">Tasks[[#This Row],[_Res3WorkPerWD]]*MAX(0,Tasks[[#This Row],[_StartWorkday]]-1)</f>
        <v>0</v>
      </c>
      <c r="DZ31" s="42" t="n">
        <f aca="false">Tasks[[#This Row],[_Res3Work]]*Tasks[[#This Row],[_LeafProgress]]</f>
        <v>0</v>
      </c>
      <c r="EA31" s="42" t="str">
        <f aca="false">IF(Tasks[[#This Row],[_Res4Text]]="","",IF(Tasks[[#This Row],[_Res4Row]]&gt;0,INDEX(res_Name,Tasks[[#This Row],[_Res4Row]]),TRIM(LEFT(Tasks[[#This Row],[_Res4Text]],FIND("[",Tasks[[#This Row],[_Res4Text]]&amp;"[")-1))))</f>
        <v/>
      </c>
      <c r="EB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1" s="42" t="n">
        <f aca="false">IF(OR(NOT(Tasks[[#This Row],[_IsLeaf]]=1),Tasks[[#This Row],[_Res4Row]]=0),0,N(Tasks[[#This Row],[_Days]])*HoursPerDay*IF(Tasks[[#This Row],[_Res4Units]]="",DefaultUnits,Tasks[[#This Row],[_Res4Units]]))</f>
        <v>0</v>
      </c>
      <c r="ED31" s="42" t="n">
        <f aca="false">IF(AND(AND(Tasks[[#This Row],[_IsLeaf]]=1,Tasks[[#This Row],[_LeafTotalWork]]&gt;0),Tasks[[#This Row],[_Res4Work]]&gt;0),Tasks[[#This Row],[_Res4Work]]/(Tasks[[#This Row],[_FinishWorkday]]-Tasks[[#This Row],[_StartWorkday]]+1),0)</f>
        <v>0</v>
      </c>
      <c r="EE31" s="42" t="n">
        <f aca="false">Tasks[[#This Row],[_Res4WorkPerWD]]*MAX(0,Tasks[[#This Row],[_StartWorkday]]-1)</f>
        <v>0</v>
      </c>
      <c r="EF31" s="42" t="n">
        <f aca="false">Tasks[[#This Row],[_Res4Work]]*Tasks[[#This Row],[_LeafProgress]]</f>
        <v>0</v>
      </c>
      <c r="EG31" s="42" t="n">
        <f aca="false">IF(ISNUMBER(Tasks[[#This Row],[% Complete]]),Tasks[[#This Row],[% Complete]],IF(Tasks[[#This Row],[Stage]]="",0,IFERROR(INDEX(stg_Pct,MATCH(Tasks[[#This Row],[Stage]],stg_Name,0)),0)))</f>
        <v>0</v>
      </c>
      <c r="EH31" s="42" t="n">
        <f aca="false">IF(NOT(Tasks[[#This Row],[_IsLeaf]]=1),0,IF(N(Tasks[[#This Row],[Actual Finish]])&gt;0,1,MIN(1,Tasks[[#This Row],[_Pct]])))</f>
        <v>0</v>
      </c>
      <c r="EI31" s="42" t="n">
        <f aca="false">IF(OR(NOT(Tasks[[#This Row],[_IsLeaf]]=1),Tasks[[#This Row],[_Res1Row]]=0),0,N(Tasks[[#This Row],[_Days]])*HoursPerDay*IF(Tasks[[#This Row],[_Units1]]="",DefaultUnits,Tasks[[#This Row],[_Units1]]))</f>
        <v>0</v>
      </c>
      <c r="EJ31" s="42" t="n">
        <f aca="false">Tasks[[#This Row],[_LeafWork]]+Tasks[[#This Row],[_Res2Work]]+Tasks[[#This Row],[_Res3Work]]+Tasks[[#This Row],[_Res4Work]]</f>
        <v>0</v>
      </c>
      <c r="EK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1" s="42" t="n">
        <f aca="false">IF(NOT(Tasks[[#This Row],[_IsLeaf]]=1),0,MAX(_xlfn.MAXIFS(Tasks[_Row],Tasks[_Pred1UID],Tasks[[#This Row],[UID]]),_xlfn.MAXIFS(Tasks[_Row],Tasks[_Pred2UID],Tasks[[#This Row],[UID]]),_xlfn.MAXIFS(Tasks[_Row],Tasks[_Pred3UID],Tasks[[#This Row],[UID]]),_xlfn.MAXIFS(Tasks[_Row],Tasks[_Pred4UID],Tasks[[#This Row],[UID]])))</f>
        <v>0</v>
      </c>
      <c r="ET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1" s="89" t="str">
        <f aca="false">IF(NOT(Tasks[[#This Row],[_IsLeaf]]=1),"",IF(N(Tasks[[#This Row],[_Days]])&lt;=0,Tasks[[#This Row],[_LeafLateFinish]],WORKDAY.INTL(Tasks[[#This Row],[_LeafLateFinish]],-(Tasks[[#This Row],[_Days]]-1),WorkWeek,Holidays)))</f>
        <v/>
      </c>
      <c r="EW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1" s="88" t="b">
        <f aca="false">AND(Tasks[[#This Row],[_IsLeaf]]=1,Tasks[[#This Row],[_LeafProgress]]&lt;1,N(Tasks[[#This Row],[_LeafTotalSlack]])&lt;=CriticalSlackDays)</f>
        <v>0</v>
      </c>
      <c r="EY31" s="42" t="n">
        <f aca="false">IF(AND(Tasks[[#This Row],[_IsLeaf]]=1,Tasks[[#This Row],[_ConstraintCode]]=1,Tasks[[#This Row],[Mode]]&lt;&gt;"Manual",N(Tasks[[#This Row],[Actual Start]])=0),MAX(0,N(Tasks[[#This Row],[Free Slack]])),0)</f>
        <v>0</v>
      </c>
      <c r="EZ31" s="89" t="str">
        <f aca="false">IF(NOT(Tasks[[#This Row],[_IsLeaf]]=1),"",IF(Tasks[[#This Row],[_AlapShift]]=0,Tasks[[#This Row],[_LeafCalcStart]],WORKDAY.INTL(Tasks[[#This Row],[_LeafCalcStart]],Tasks[[#This Row],[_AlapShift]],WorkWeek,Holidays)))</f>
        <v/>
      </c>
      <c r="FA31" s="89" t="str">
        <f aca="false">IF(NOT(Tasks[[#This Row],[_IsLeaf]]=1),"",IF(Tasks[[#This Row],[_AlapShift]]=0,Tasks[[#This Row],[_LeafCalcFinish]],WORKDAY.INTL(Tasks[[#This Row],[_LeafCalcFinish]],Tasks[[#This Row],[_AlapShift]],WorkWeek,Holidays)))</f>
        <v/>
      </c>
      <c r="FB31" s="89" t="str">
        <f aca="false">IF(NOT(Tasks[[#This Row],[_IsLeaf]]=1),"",IF(Tasks[[#This Row],[_AlapShift]]=0,Tasks[[#This Row],[_LeafFcstStart]],WORKDAY.INTL(Tasks[[#This Row],[_LeafFcstStart]],Tasks[[#This Row],[_AlapShift]],WorkWeek,Holidays)))</f>
        <v/>
      </c>
      <c r="FC31" s="89" t="str">
        <f aca="false">IF(NOT(Tasks[[#This Row],[_IsLeaf]]=1),"",IF(Tasks[[#This Row],[_AlapShift]]=0,Tasks[[#This Row],[_LeafFcstFinish]],WORKDAY.INTL(Tasks[[#This Row],[_LeafFcstFinish]],Tasks[[#This Row],[_AlapShift]],WorkWeek,Holidays)))</f>
        <v/>
      </c>
      <c r="FD31" s="89" t="str">
        <f aca="false">IF(Tasks[[#This Row],[Task Name]]="","",IF(Tasks[[#This Row],[_IsSummary]],MIN(INDEX(Tasks[_ShownCalcStart],Tasks[[#This Row],[_Row]]+1):INDEX(Tasks[_ShownCalcStart],Tasks[[#This Row],[_Row]]+Tasks[[#This Row],[_Descendants]])),Tasks[[#This Row],[_ShownCalcStart]]))</f>
        <v/>
      </c>
      <c r="FE31" s="89" t="str">
        <f aca="false">IF(Tasks[[#This Row],[Task Name]]="","",IF(Tasks[[#This Row],[_IsSummary]],MAX(INDEX(Tasks[_ShownCalcFinish],Tasks[[#This Row],[_Row]]+1):INDEX(Tasks[_ShownCalcFinish],Tasks[[#This Row],[_Row]]+Tasks[[#This Row],[_Descendants]])),Tasks[[#This Row],[_ShownCalcFinish]]))</f>
        <v/>
      </c>
      <c r="FF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1" s="42" t="n">
        <f aca="false">IF(AND(Tasks[[#This Row],[_IsLeaf]]=1,Tasks[[#This Row],[_LeafTotalWork]]&gt;0),NETWORKDAYS.INTL(ProjectStart,Tasks[[#This Row],[_ShownFcstStart]],WorkWeek,Holidays),0)</f>
        <v>0</v>
      </c>
      <c r="FS31" s="42" t="n">
        <f aca="false">IF(AND(Tasks[[#This Row],[_IsLeaf]]=1,Tasks[[#This Row],[_LeafTotalWork]]&gt;0),MAX(Tasks[[#This Row],[_StartWorkday]],NETWORKDAYS.INTL(ProjectStart,Tasks[[#This Row],[_ShownFcstFinish]],WorkWeek,Holidays)),0)</f>
        <v>0</v>
      </c>
      <c r="FT31" s="42" t="n">
        <f aca="false">IF(AND(Tasks[[#This Row],[_IsLeaf]]=1,Tasks[[#This Row],[_LeafTotalWork]]&gt;0),Tasks[[#This Row],[_LeafWork]]/(Tasks[[#This Row],[_FinishWorkday]]-Tasks[[#This Row],[_StartWorkday]]+1),0)</f>
        <v>0</v>
      </c>
      <c r="FU31" s="42" t="n">
        <f aca="false">Tasks[[#This Row],[_WorkPerWorkday]]*(Tasks[[#This Row],[_StartWorkday]]-1)</f>
        <v>-0</v>
      </c>
      <c r="FV31" s="42" t="n">
        <f aca="false">IF(Tasks[[#This Row],[_IsLeaf]]=1,MAX(N(Tasks[[#This Row],[_Days]]),0.1),0)</f>
        <v>0</v>
      </c>
      <c r="FW31" s="42" t="n">
        <f aca="false">Tasks[[#This Row],[_WeightDur]]*Tasks[[#This Row],[_LeafProgress]]</f>
        <v>0</v>
      </c>
      <c r="FX31" s="42" t="n">
        <f aca="false">Tasks[[#This Row],[_WeightDur]]*Tasks[[#This Row],[_PlannedPct]]</f>
        <v>0</v>
      </c>
      <c r="FY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1" s="42" t="str">
        <f aca="false">IF(AND(Tasks[[#This Row],[_IsLeaf]]=1,N(Tasks[[#This Row],[_Days]])=0,Tasks[[#This Row],[_LeafProgress]]&lt;1),Tasks[[#This Row],[_ShownFcstFinish]]+Tasks[[#This Row],[_Row]]/100000,"")</f>
        <v/>
      </c>
      <c r="GA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1" s="42" t="str">
        <f aca="false">IF(Tasks[[#This Row],[Task Name]]="","",LEFT(Tasks[[#This Row],[WBS]],FIND(".",Tasks[[#This Row],[WBS]]&amp;".")-1))</f>
        <v/>
      </c>
      <c r="GC31" s="42" t="str">
        <f aca="false">IF(AND(Tasks[[#This Row],[Task Name]]&lt;&gt;"",Tasks[[#This Row],[_Level]]=1),Tasks[[#This Row],[_Row]],"")</f>
        <v/>
      </c>
      <c r="GD31" s="42" t="str">
        <f aca="false">IF(AND(Tasks[[#This Row],[_IsLeaf]]=1,N(Tasks[[#This Row],[_Days]])=0),Tasks[[#This Row],[Planned Finish]]+Tasks[[#This Row],[_Row]]/100000,"")</f>
        <v/>
      </c>
      <c r="GE31" s="42" t="str">
        <f aca="false">IF(AND(Tasks[[#This Row],[_IsLeaf]]=1,Tasks[[#This Row],[_LeafProgress]]&lt;1,OR(N(Tasks[[#This Row],[Finish Var]])&gt;0,Tasks[[#This Row],[Status]]="Late Start")),MAX(0,Tasks[[#This Row],[Finish Var]])+1-Tasks[[#This Row],[_Row]]/1000000,"")</f>
        <v/>
      </c>
      <c r="GF31" s="42" t="str">
        <f aca="false">IF(AND(Tasks[[#This Row],[_IsLeaf]]=1,N(Tasks[[#This Row],[Actual Start]])=0,Tasks[[#This Row],[_ShownFcstStart]]&gt;=StatusDate,Tasks[[#This Row],[_ShownFcstStart]]&lt;=LookaheadEnd),Tasks[[#This Row],[_ShownFcstStart]]+Tasks[[#This Row],[_Row]]/100000,"")</f>
        <v/>
      </c>
      <c r="GG31" s="42" t="str">
        <f aca="false">IF(AND(Tasks[[#This Row],[_IsLeaf]]=1,Tasks[[#This Row],[_LeafProgress]]&lt;1,Tasks[[#This Row],[_ShownFcstFinish]]&gt;=StatusDate,Tasks[[#This Row],[_ShownFcstFinish]]&lt;=LookaheadEnd),Tasks[[#This Row],[_ShownFcstFinish]]+Tasks[[#This Row],[_Row]]/100000,"")</f>
        <v/>
      </c>
      <c r="GH31" s="42" t="str">
        <f aca="false">IF(Tasks[[#This Row],[_LeafCritical]],Tasks[[#This Row],[_ShownFcstStart]]+Tasks[[#This Row],[_Row]]/100000,"")</f>
        <v/>
      </c>
      <c r="GI31" s="42" t="n">
        <f aca="false">Tasks[[#This Row],[_LeafWork]]*Tasks[[#This Row],[_LeafProgress]]</f>
        <v>0</v>
      </c>
      <c r="GJ31" s="89" t="str">
        <f aca="false">IF(AND(Tasks[[#This Row],[_IsLeaf]]=1,Tasks[[#This Row],[_LeafProgress]]&gt;=1),IF(N(Tasks[[#This Row],[Actual Finish]])&gt;0,Tasks[[#This Row],[Actual Finish]],Tasks[[#This Row],[_ShownFcstFinish]]),"")</f>
        <v/>
      </c>
      <c r="GK31" s="42" t="n">
        <f aca="false">IF(Tasks[[#This Row],[_IsLeaf]]=1,N(Tasks[[#This Row],[Story Points]]),0)</f>
        <v>0</v>
      </c>
      <c r="GL31" s="42" t="str">
        <f aca="false">""</f>
        <v/>
      </c>
      <c r="GM31" s="88" t="b">
        <f aca="false">IF(Tasks[[#This Row],[Task Name]]="",FALSE(),AND(Tasks[[#This Row],[_IsLeaf]]=1,N(Tasks[[#This Row],[_Days]])=0))</f>
        <v>0</v>
      </c>
      <c r="GN31" s="89" t="n">
        <f aca="false">IF(Tasks[[#This Row],[Task Name]]="",0,IF(AND(Tasks[[#This Row],[_IsLeaf]]=1,NOT(Tasks[[#This Row],[_IsMilestone]]),N(Tasks[[#This Row],[Progress]])&gt;0),Tasks[[#This Row],[Start]],0))</f>
        <v>0</v>
      </c>
      <c r="GO31" s="89" t="n">
        <f aca="false">IF(Tasks[[#This Row],[_DoneFrom]]=0,0,IF(Tasks[[#This Row],[Progress]]&gt;=1,Tasks[[#This Row],[Finish]],MAX(Tasks[[#This Row],[_DoneFrom]],Tasks[[#This Row],[Start]]+ROUND((Tasks[[#This Row],[Finish]]-Tasks[[#This Row],[Start]]+1)*Tasks[[#This Row],[Progress]],0)-1)))</f>
        <v>0</v>
      </c>
      <c r="GP31" s="89" t="n">
        <f aca="false">IF(Tasks[[#This Row],[Task Name]]="",0,IF(OR(NOT(Tasks[[#This Row],[_IsLeaf]]=1),Tasks[[#This Row],[_IsMilestone]],N(Tasks[[#This Row],[Progress]])&gt;=1),0,IF(Tasks[[#This Row],[_DoneTo]]&gt;0,Tasks[[#This Row],[_DoneTo]]+1,Tasks[[#This Row],[Start]])))</f>
        <v>0</v>
      </c>
      <c r="GQ31" s="89" t="n">
        <f aca="false">IF(Tasks[[#This Row],[_RemFrom]]=0,0,Tasks[[#This Row],[Finish]])</f>
        <v>0</v>
      </c>
      <c r="GR31" s="88" t="b">
        <f aca="false">IF(Tasks[[#This Row],[Task Name]]="",FALSE(),OR(NOT(BaselineSet),N(Tasks[[#This Row],[Baseline Start]])&gt;0))</f>
        <v>0</v>
      </c>
      <c r="GS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1" s="90" t="str">
        <f aca="false">IF(Tasks[[#This Row],[_IsLeaf]]=1,Tasks[[#This Row],[_Row]],"")</f>
        <v/>
      </c>
      <c r="GW31" s="90" t="str">
        <f aca="false">IFERROR(INDEX(Tasks[UID],SMALL(Tasks[_PickKey],Tasks[[#This Row],[_Row]]))&amp;" "&amp;INDEX(Tasks[Task Name],SMALL(Tasks[_PickKey],Tasks[[#This Row],[_Row]])),"")</f>
        <v/>
      </c>
      <c r="GX31" s="42" t="str">
        <f aca="false">IF(Tasks[[#This Row],[Task Name]]="","",IF(Tasks[[#This Row],[_IsSummary]],NETWORKDAYS.INTL(Tasks[[#This Row],[Start]],Tasks[[#This Row],[Finish]],WorkWeek,Holidays),N(Tasks[[#This Row],[_Days]])))</f>
        <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3"/>
      <c r="U32" s="23"/>
      <c r="V32" s="83"/>
      <c r="W32" s="23"/>
      <c r="X32" s="83"/>
      <c r="Y32" s="23"/>
      <c r="Z32" s="83"/>
      <c r="AA32" s="23"/>
      <c r="AB32" s="23"/>
      <c r="AC32" s="7"/>
      <c r="AD32" s="7"/>
      <c r="AE32" s="62" t="str">
        <f aca="false">IF(Tasks[[#This Row],[Task Name]]="","",IF(Tasks[[#This Row],[_IsSummary]],MIN(INDEX(Tasks[_ShownFcstStart],Tasks[[#This Row],[_Row]]+1):INDEX(Tasks[_ShownFcstStart],Tasks[[#This Row],[_Row]]+Tasks[[#This Row],[_Descendants]])),Tasks[[#This Row],[_ShownFcstStart]]))</f>
        <v/>
      </c>
      <c r="AF32" s="62"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2" s="7"/>
      <c r="AK32" s="22"/>
      <c r="AL32" s="23"/>
      <c r="AM32" s="7"/>
      <c r="AN32" s="46"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2" t="str">
        <f aca="false">IF(Tasks[[#This Row],[Task Name]]="","",IF(N(Tasks[[#This Row],[Baseline Start]])&gt;0,Tasks[[#This Row],[Baseline Start]],Tasks[[#This Row],[_CalcStart]]))</f>
        <v/>
      </c>
      <c r="AR32" s="62" t="str">
        <f aca="false">IF(Tasks[[#This Row],[Task Name]]="","",IF(N(Tasks[[#This Row],[Baseline Finish]])&gt;0,Tasks[[#This Row],[Baseline Finish]],Tasks[[#This Row],[_CalcFinish]]))</f>
        <v/>
      </c>
      <c r="AS32" s="46" t="str">
        <f aca="false">IF(Tasks[[#This Row],[Task Name]]="","",IF(Tasks[[#This Row],[Start]]&gt;=Tasks[[#This Row],[Planned Start]],NETWORKDAYS.INTL(Tasks[[#This Row],[Planned Start]],Tasks[[#This Row],[Start]],WorkWeek,Holidays)-1,1-NETWORKDAYS.INTL(Tasks[[#This Row],[Start]],Tasks[[#This Row],[Planned Start]],WorkWeek,Holidays)))</f>
        <v/>
      </c>
      <c r="AT32" s="62" t="str">
        <f aca="false">IF(Tasks[[#This Row],[Task Name]]="","",IF(Tasks[[#This Row],[_IsSummary]],MIN(INDEX(Tasks[_LeafLateStart],Tasks[[#This Row],[_Row]]+1):INDEX(Tasks[_LeafLateStart],Tasks[[#This Row],[_Row]]+Tasks[[#This Row],[_Descendants]])),Tasks[[#This Row],[_LeafLateStart]]))</f>
        <v/>
      </c>
      <c r="AU32" s="62" t="str">
        <f aca="false">IF(Tasks[[#This Row],[Task Name]]="","",IF(Tasks[[#This Row],[_IsSummary]],MAX(INDEX(Tasks[_LeafLateFinish],Tasks[[#This Row],[_Row]]+1):INDEX(Tasks[_LeafLateFinish],Tasks[[#This Row],[_Row]]+Tasks[[#This Row],[_Descendants]])),Tasks[[#This Row],[_LeafLateFinish]]))</f>
        <v/>
      </c>
      <c r="AV32" s="46"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4"/>
      <c r="BA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5"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6"/>
      <c r="BJ32" s="22"/>
      <c r="BK32" s="46" t="str">
        <f aca="false">IF(OR(Tasks[[#This Row],[Task Name]]="",Tasks[[#This Row],[Baseline Duration]]=""),"",Tasks[[#This Row],[_SpanDays]]-N(Tasks[[#This Row],[Baseline Duration]]))</f>
        <v/>
      </c>
      <c r="BL32" s="85" t="str">
        <f aca="false">IF(OR(Tasks[[#This Row],[Task Name]]="",Tasks[[#This Row],[Baseline Work]]=""),"",Tasks[[#This Row],[Work]]-N(Tasks[[#This Row],[Baseline Work]]))</f>
        <v/>
      </c>
      <c r="BM32" s="62" t="str">
        <f aca="false">IF(Tasks[[#This Row],[Task Name]]="","",IF(OR(TakeBaseline="Yes",N(Tasks[[#This Row],[Baseline Start]])=0),Tasks[[#This Row],[Start]],Tasks[[#This Row],[Baseline Start]]))</f>
        <v/>
      </c>
      <c r="BN32" s="62"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5" t="str">
        <f aca="false">IF(Tasks[[#This Row],[Task Name]]="","",IF(OR(TakeBaseline="Yes",N(Tasks[[#This Row],[Baseline Work]])=0),Tasks[[#This Row],[Work]],Tasks[[#This Row],[Baseline Work]]))</f>
        <v/>
      </c>
      <c r="BQ32" s="7"/>
      <c r="BR32" s="7"/>
      <c r="BS32" s="22"/>
      <c r="BT32" s="87"/>
      <c r="BU32" s="42" t="str">
        <f aca="false">IF(Tasks[[#This Row],[Task Name]]="","",MAX(1,N(Tasks[[#This Row],[Level]])))</f>
        <v/>
      </c>
      <c r="BV32" s="42" t="n">
        <f aca="false">ROW()-ROW(Tasks[[#Headers],[ID]])</f>
        <v>27</v>
      </c>
      <c r="BW32" s="42" t="n">
        <f aca="false">IF(OR(Tasks[[#This Row],[Task Name]]="",Tasks[[#This Row],[_Level]]&lt;=1),0,IFERROR(LOOKUP(2,1/(Tasks[[#Headers],[_Level]]:Tasks[[#This Row],[_Level]]=Tasks[[#This Row],[_Level]]-1),ROW(Tasks[[#Headers],[_Level]]:Tasks[[#This Row],[_Level]])),0))</f>
        <v>0</v>
      </c>
      <c r="BX32" s="42" t="n">
        <f aca="false">IFERROR(N(INDEX(Tasks[_Level],Tasks[[#This Row],[_Row]]+1)),0)</f>
        <v>0</v>
      </c>
      <c r="BY32" s="88" t="b">
        <f aca="false">AND(Tasks[[#This Row],[Task Name]]&lt;&gt;"",Tasks[[#This Row],[_NextLevel]]&gt;Tasks[[#This Row],[_Level]])</f>
        <v>0</v>
      </c>
      <c r="BZ32" s="42" t="n">
        <f aca="false">IF(Tasks[[#This Row],[_IsSummary]],COUNTIF(Tasks[WBS],Tasks[[#This Row],[WBS]]&amp;".*"),0)</f>
        <v>0</v>
      </c>
      <c r="CA32" s="42" t="n">
        <f aca="false">IF(AND(Tasks[[#This Row],[Task Name]]&lt;&gt;"",NOT(Tasks[[#This Row],[_IsSummary]])),1,0)</f>
        <v>0</v>
      </c>
      <c r="CB32" s="42" t="n">
        <f aca="false">IF(N(Tasks[[#This Row],[_Pred1UID]])=0,0,IFERROR(MATCH(Tasks[[#This Row],[_Pred1UID]],Tasks[UID],0),-1))</f>
        <v>0</v>
      </c>
      <c r="CC32" s="42" t="n">
        <f aca="false">IF(N(Tasks[[#This Row],[_Pred2UID]])=0,0,IFERROR(MATCH(Tasks[[#This Row],[_Pred2UID]],Tasks[UID],0),-1))</f>
        <v>0</v>
      </c>
      <c r="CD32" s="42" t="n">
        <f aca="false">IF(N(Tasks[[#This Row],[_Pred3UID]])=0,0,IFERROR(MATCH(Tasks[[#This Row],[_Pred3UID]],Tasks[UID],0),-1))</f>
        <v>0</v>
      </c>
      <c r="CE32" s="42" t="n">
        <f aca="false">IF(N(Tasks[[#This Row],[_Pred4UID]])=0,0,IFERROR(MATCH(Tasks[[#This Row],[_Pred4UID]],Tasks[UID],0),-1))</f>
        <v>0</v>
      </c>
      <c r="CF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2" s="89" t="n">
        <f aca="false">IF(OR(Tasks[[#This Row],[_ConstraintCode]]=2,Tasks[[#This Row],[_ConstraintCode]]=3,Tasks[[#This Row],[_ConstraintCode]]=4,Tasks[[#This Row],[_ConstraintCode]]=6),Tasks[[#This Row],[_ConstraintStart]],0)</f>
        <v>0</v>
      </c>
      <c r="CI32" s="89" t="n">
        <f aca="false">IF(OR(Tasks[[#This Row],[_ConstraintCode]]=2,Tasks[[#This Row],[_ConstraintCode]]=3,Tasks[[#This Row],[_ConstraintCode]]=5,Tasks[[#This Row],[_ConstraintCode]]=7),Tasks[[#This Row],[_ConstraintStart]],2958465)</f>
        <v>2958465</v>
      </c>
      <c r="CJ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2" s="89" t="str">
        <f aca="false">IF(NOT(Tasks[[#This Row],[_IsLeaf]]=1),"",IF(N(Tasks[[#This Row],[_Days]])&lt;=0,Tasks[[#This Row],[_LeafCalcStart]],WORKDAY.INTL(Tasks[[#This Row],[_LeafCalcStart]],Tasks[[#This Row],[_Days]]-1,WorkWeek,Holidays)))</f>
        <v/>
      </c>
      <c r="CL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2" s="42" t="str">
        <f aca="false">IF(Tasks[[#This Row],[_Predecessors]]="","",TRIM(MID(SUBSTITUTE(SUBSTITUTE(SUBSTITUTE(UPPER(Tasks[[#This Row],[_Predecessors]]),";",",")," ",""),",",REPT(" ",99)),1,99)))</f>
        <v/>
      </c>
      <c r="CO32" s="42" t="str">
        <f aca="false">IF(Tasks[[#This Row],[_Pred1Text]]="","",IFERROR(VALUE(LEFT(Tasks[[#This Row],[_Pred1Text]],MIN(FIND("F",Tasks[[#This Row],[_Pred1Text]]&amp;"F"),FIND("S",Tasks[[#This Row],[_Pred1Text]]&amp;"S"),FIND("+",Tasks[[#This Row],[_Pred1Text]]&amp;"+"),FIND("-",Tasks[[#This Row],[_Pred1Text]]&amp;"-"))-1)),""))</f>
        <v/>
      </c>
      <c r="CP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2" s="42" t="str">
        <f aca="false">IF(Tasks[[#This Row],[_Pred1Text]]="","",TRIM(MID(SUBSTITUTE(SUBSTITUTE(SUBSTITUTE(UPPER(Tasks[[#This Row],[_Predecessors]]),";",",")," ",""),",",REPT(" ",99)),100,99)))</f>
        <v/>
      </c>
      <c r="CS32" s="42" t="str">
        <f aca="false">IF(Tasks[[#This Row],[_Pred2Text]]="","",IFERROR(VALUE(LEFT(Tasks[[#This Row],[_Pred2Text]],MIN(FIND("F",Tasks[[#This Row],[_Pred2Text]]&amp;"F"),FIND("S",Tasks[[#This Row],[_Pred2Text]]&amp;"S"),FIND("+",Tasks[[#This Row],[_Pred2Text]]&amp;"+"),FIND("-",Tasks[[#This Row],[_Pred2Text]]&amp;"-"))-1)),""))</f>
        <v/>
      </c>
      <c r="CT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2" s="42" t="str">
        <f aca="false">IF(Tasks[[#This Row],[_Pred2Text]]="","",TRIM(MID(SUBSTITUTE(SUBSTITUTE(SUBSTITUTE(UPPER(Tasks[[#This Row],[_Predecessors]]),";",",")," ",""),",",REPT(" ",99)),199,99)))</f>
        <v/>
      </c>
      <c r="CW32" s="42" t="str">
        <f aca="false">IF(Tasks[[#This Row],[_Pred3Text]]="","",IFERROR(VALUE(LEFT(Tasks[[#This Row],[_Pred3Text]],MIN(FIND("F",Tasks[[#This Row],[_Pred3Text]]&amp;"F"),FIND("S",Tasks[[#This Row],[_Pred3Text]]&amp;"S"),FIND("+",Tasks[[#This Row],[_Pred3Text]]&amp;"+"),FIND("-",Tasks[[#This Row],[_Pred3Text]]&amp;"-"))-1)),""))</f>
        <v/>
      </c>
      <c r="CX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2" s="42" t="str">
        <f aca="false">IF(Tasks[[#This Row],[_Pred3Text]]="","",TRIM(MID(SUBSTITUTE(SUBSTITUTE(SUBSTITUTE(UPPER(Tasks[[#This Row],[_Predecessors]]),";",",")," ",""),",",REPT(" ",99)),298,99)))</f>
        <v/>
      </c>
      <c r="DA32" s="42" t="str">
        <f aca="false">IF(Tasks[[#This Row],[_Pred4Text]]="","",IFERROR(VALUE(LEFT(Tasks[[#This Row],[_Pred4Text]],MIN(FIND("F",Tasks[[#This Row],[_Pred4Text]]&amp;"F"),FIND("S",Tasks[[#This Row],[_Pred4Text]]&amp;"S"),FIND("+",Tasks[[#This Row],[_Pred4Text]]&amp;"+"),FIND("-",Tasks[[#This Row],[_Pred4Text]]&amp;"-"))-1)),""))</f>
        <v/>
      </c>
      <c r="DB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2" s="42" t="str">
        <f aca="false">IF(OR(Tasks[[#This Row],[Task Name]]="",Tasks[[#This Row],[_Resources]]=""),"",TRIM(MID(SUBSTITUTE(Tasks[[#This Row],[_Resources]],",",REPT(" ",99)),1,99)))</f>
        <v/>
      </c>
      <c r="DE32" s="42" t="str">
        <f aca="false">IF(Tasks[[#This Row],[_Res1Text]]="","",TRIM(MID(SUBSTITUTE(Tasks[[#This Row],[_Resources]],",",REPT(" ",99)),100,99)))</f>
        <v/>
      </c>
      <c r="DF32" s="42" t="str">
        <f aca="false">IF(Tasks[[#This Row],[_Res2Text]]="","",TRIM(MID(SUBSTITUTE(Tasks[[#This Row],[_Resources]],",",REPT(" ",99)),199,99)))</f>
        <v/>
      </c>
      <c r="DG32" s="42" t="str">
        <f aca="false">IF(Tasks[[#This Row],[_Res3Text]]="","",TRIM(MID(SUBSTITUTE(Tasks[[#This Row],[_Resources]],",",REPT(" ",99)),298,99)))</f>
        <v/>
      </c>
      <c r="DH32" s="42" t="n">
        <f aca="false">IF(Tasks[[#This Row],[_Res1Text]]="",0,IFERROR(MATCH(TRIM(LEFT(Tasks[[#This Row],[_Res1Text]],FIND("[",Tasks[[#This Row],[_Res1Text]]&amp;"[")-1)),res_Name,0),IFERROR(MATCH(TRIM(LEFT(Tasks[[#This Row],[_Res1Text]],FIND("[",Tasks[[#This Row],[_Res1Text]]&amp;"[")-1)),res_Initials,0),0)))</f>
        <v>0</v>
      </c>
      <c r="DI32" s="42" t="n">
        <f aca="false">IF(Tasks[[#This Row],[_Res2Text]]="",0,IFERROR(MATCH(TRIM(LEFT(Tasks[[#This Row],[_Res2Text]],FIND("[",Tasks[[#This Row],[_Res2Text]]&amp;"[")-1)),res_Name,0),IFERROR(MATCH(TRIM(LEFT(Tasks[[#This Row],[_Res2Text]],FIND("[",Tasks[[#This Row],[_Res2Text]]&amp;"[")-1)),res_Initials,0),0)))</f>
        <v>0</v>
      </c>
      <c r="DJ32" s="42" t="n">
        <f aca="false">IF(Tasks[[#This Row],[_Res3Text]]="",0,IFERROR(MATCH(TRIM(LEFT(Tasks[[#This Row],[_Res3Text]],FIND("[",Tasks[[#This Row],[_Res3Text]]&amp;"[")-1)),res_Name,0),IFERROR(MATCH(TRIM(LEFT(Tasks[[#This Row],[_Res3Text]],FIND("[",Tasks[[#This Row],[_Res3Text]]&amp;"[")-1)),res_Initials,0),0)))</f>
        <v>0</v>
      </c>
      <c r="DK32" s="42" t="n">
        <f aca="false">IF(Tasks[[#This Row],[_Res4Text]]="",0,IFERROR(MATCH(TRIM(LEFT(Tasks[[#This Row],[_Res4Text]],FIND("[",Tasks[[#This Row],[_Res4Text]]&amp;"[")-1)),res_Name,0),IFERROR(MATCH(TRIM(LEFT(Tasks[[#This Row],[_Res4Text]],FIND("[",Tasks[[#This Row],[_Res4Text]]&amp;"[")-1)),res_Initials,0),0)))</f>
        <v>0</v>
      </c>
      <c r="DL32" s="42" t="str">
        <f aca="false">IF(Tasks[[#This Row],[_Res1Text]]="","",IF(Tasks[[#This Row],[_Res1Row]]&gt;0,INDEX(res_Name,Tasks[[#This Row],[_Res1Row]]),TRIM(LEFT(Tasks[[#This Row],[_Res1Text]],FIND("[",Tasks[[#This Row],[_Res1Text]]&amp;"[")-1))))</f>
        <v/>
      </c>
      <c r="DM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2" s="42" t="n">
        <f aca="false">IF(NOT(Tasks[[#This Row],[_IsLeaf]]=1),0,(Tasks[[#This Row],[_Resource1]]&lt;&gt;"")+(Tasks[[#This Row],[_Res2]]&lt;&gt;"")+(Tasks[[#This Row],[_Res3]]&lt;&gt;"")+(Tasks[[#This Row],[_Res4]]&lt;&gt;""))</f>
        <v>0</v>
      </c>
      <c r="DO32" s="42" t="str">
        <f aca="false">IF(Tasks[[#This Row],[_Res2Text]]="","",IF(Tasks[[#This Row],[_Res2Row]]&gt;0,INDEX(res_Name,Tasks[[#This Row],[_Res2Row]]),TRIM(LEFT(Tasks[[#This Row],[_Res2Text]],FIND("[",Tasks[[#This Row],[_Res2Text]]&amp;"[")-1))))</f>
        <v/>
      </c>
      <c r="DP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2" s="42" t="n">
        <f aca="false">IF(OR(NOT(Tasks[[#This Row],[_IsLeaf]]=1),Tasks[[#This Row],[_Res2Row]]=0),0,N(Tasks[[#This Row],[_Days]])*HoursPerDay*IF(Tasks[[#This Row],[_Res2Units]]="",DefaultUnits,Tasks[[#This Row],[_Res2Units]]))</f>
        <v>0</v>
      </c>
      <c r="DR32" s="42" t="n">
        <f aca="false">IF(AND(AND(Tasks[[#This Row],[_IsLeaf]]=1,Tasks[[#This Row],[_LeafTotalWork]]&gt;0),Tasks[[#This Row],[_Res2Work]]&gt;0),Tasks[[#This Row],[_Res2Work]]/(Tasks[[#This Row],[_FinishWorkday]]-Tasks[[#This Row],[_StartWorkday]]+1),0)</f>
        <v>0</v>
      </c>
      <c r="DS32" s="42" t="n">
        <f aca="false">Tasks[[#This Row],[_Res2WorkPerWD]]*MAX(0,Tasks[[#This Row],[_StartWorkday]]-1)</f>
        <v>0</v>
      </c>
      <c r="DT32" s="42" t="n">
        <f aca="false">Tasks[[#This Row],[_Res2Work]]*Tasks[[#This Row],[_LeafProgress]]</f>
        <v>0</v>
      </c>
      <c r="DU32" s="42" t="str">
        <f aca="false">IF(Tasks[[#This Row],[_Res3Text]]="","",IF(Tasks[[#This Row],[_Res3Row]]&gt;0,INDEX(res_Name,Tasks[[#This Row],[_Res3Row]]),TRIM(LEFT(Tasks[[#This Row],[_Res3Text]],FIND("[",Tasks[[#This Row],[_Res3Text]]&amp;"[")-1))))</f>
        <v/>
      </c>
      <c r="DV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2" s="42" t="n">
        <f aca="false">IF(OR(NOT(Tasks[[#This Row],[_IsLeaf]]=1),Tasks[[#This Row],[_Res3Row]]=0),0,N(Tasks[[#This Row],[_Days]])*HoursPerDay*IF(Tasks[[#This Row],[_Res3Units]]="",DefaultUnits,Tasks[[#This Row],[_Res3Units]]))</f>
        <v>0</v>
      </c>
      <c r="DX32" s="42" t="n">
        <f aca="false">IF(AND(AND(Tasks[[#This Row],[_IsLeaf]]=1,Tasks[[#This Row],[_LeafTotalWork]]&gt;0),Tasks[[#This Row],[_Res3Work]]&gt;0),Tasks[[#This Row],[_Res3Work]]/(Tasks[[#This Row],[_FinishWorkday]]-Tasks[[#This Row],[_StartWorkday]]+1),0)</f>
        <v>0</v>
      </c>
      <c r="DY32" s="42" t="n">
        <f aca="false">Tasks[[#This Row],[_Res3WorkPerWD]]*MAX(0,Tasks[[#This Row],[_StartWorkday]]-1)</f>
        <v>0</v>
      </c>
      <c r="DZ32" s="42" t="n">
        <f aca="false">Tasks[[#This Row],[_Res3Work]]*Tasks[[#This Row],[_LeafProgress]]</f>
        <v>0</v>
      </c>
      <c r="EA32" s="42" t="str">
        <f aca="false">IF(Tasks[[#This Row],[_Res4Text]]="","",IF(Tasks[[#This Row],[_Res4Row]]&gt;0,INDEX(res_Name,Tasks[[#This Row],[_Res4Row]]),TRIM(LEFT(Tasks[[#This Row],[_Res4Text]],FIND("[",Tasks[[#This Row],[_Res4Text]]&amp;"[")-1))))</f>
        <v/>
      </c>
      <c r="EB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2" s="42" t="n">
        <f aca="false">IF(OR(NOT(Tasks[[#This Row],[_IsLeaf]]=1),Tasks[[#This Row],[_Res4Row]]=0),0,N(Tasks[[#This Row],[_Days]])*HoursPerDay*IF(Tasks[[#This Row],[_Res4Units]]="",DefaultUnits,Tasks[[#This Row],[_Res4Units]]))</f>
        <v>0</v>
      </c>
      <c r="ED32" s="42" t="n">
        <f aca="false">IF(AND(AND(Tasks[[#This Row],[_IsLeaf]]=1,Tasks[[#This Row],[_LeafTotalWork]]&gt;0),Tasks[[#This Row],[_Res4Work]]&gt;0),Tasks[[#This Row],[_Res4Work]]/(Tasks[[#This Row],[_FinishWorkday]]-Tasks[[#This Row],[_StartWorkday]]+1),0)</f>
        <v>0</v>
      </c>
      <c r="EE32" s="42" t="n">
        <f aca="false">Tasks[[#This Row],[_Res4WorkPerWD]]*MAX(0,Tasks[[#This Row],[_StartWorkday]]-1)</f>
        <v>0</v>
      </c>
      <c r="EF32" s="42" t="n">
        <f aca="false">Tasks[[#This Row],[_Res4Work]]*Tasks[[#This Row],[_LeafProgress]]</f>
        <v>0</v>
      </c>
      <c r="EG32" s="42" t="n">
        <f aca="false">IF(ISNUMBER(Tasks[[#This Row],[% Complete]]),Tasks[[#This Row],[% Complete]],IF(Tasks[[#This Row],[Stage]]="",0,IFERROR(INDEX(stg_Pct,MATCH(Tasks[[#This Row],[Stage]],stg_Name,0)),0)))</f>
        <v>0</v>
      </c>
      <c r="EH32" s="42" t="n">
        <f aca="false">IF(NOT(Tasks[[#This Row],[_IsLeaf]]=1),0,IF(N(Tasks[[#This Row],[Actual Finish]])&gt;0,1,MIN(1,Tasks[[#This Row],[_Pct]])))</f>
        <v>0</v>
      </c>
      <c r="EI32" s="42" t="n">
        <f aca="false">IF(OR(NOT(Tasks[[#This Row],[_IsLeaf]]=1),Tasks[[#This Row],[_Res1Row]]=0),0,N(Tasks[[#This Row],[_Days]])*HoursPerDay*IF(Tasks[[#This Row],[_Units1]]="",DefaultUnits,Tasks[[#This Row],[_Units1]]))</f>
        <v>0</v>
      </c>
      <c r="EJ32" s="42" t="n">
        <f aca="false">Tasks[[#This Row],[_LeafWork]]+Tasks[[#This Row],[_Res2Work]]+Tasks[[#This Row],[_Res3Work]]+Tasks[[#This Row],[_Res4Work]]</f>
        <v>0</v>
      </c>
      <c r="EK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2" s="42" t="n">
        <f aca="false">IF(NOT(Tasks[[#This Row],[_IsLeaf]]=1),0,MAX(_xlfn.MAXIFS(Tasks[_Row],Tasks[_Pred1UID],Tasks[[#This Row],[UID]]),_xlfn.MAXIFS(Tasks[_Row],Tasks[_Pred2UID],Tasks[[#This Row],[UID]]),_xlfn.MAXIFS(Tasks[_Row],Tasks[_Pred3UID],Tasks[[#This Row],[UID]]),_xlfn.MAXIFS(Tasks[_Row],Tasks[_Pred4UID],Tasks[[#This Row],[UID]])))</f>
        <v>0</v>
      </c>
      <c r="ET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2" s="89" t="str">
        <f aca="false">IF(NOT(Tasks[[#This Row],[_IsLeaf]]=1),"",IF(N(Tasks[[#This Row],[_Days]])&lt;=0,Tasks[[#This Row],[_LeafLateFinish]],WORKDAY.INTL(Tasks[[#This Row],[_LeafLateFinish]],-(Tasks[[#This Row],[_Days]]-1),WorkWeek,Holidays)))</f>
        <v/>
      </c>
      <c r="EW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2" s="88" t="b">
        <f aca="false">AND(Tasks[[#This Row],[_IsLeaf]]=1,Tasks[[#This Row],[_LeafProgress]]&lt;1,N(Tasks[[#This Row],[_LeafTotalSlack]])&lt;=CriticalSlackDays)</f>
        <v>0</v>
      </c>
      <c r="EY32" s="42" t="n">
        <f aca="false">IF(AND(Tasks[[#This Row],[_IsLeaf]]=1,Tasks[[#This Row],[_ConstraintCode]]=1,Tasks[[#This Row],[Mode]]&lt;&gt;"Manual",N(Tasks[[#This Row],[Actual Start]])=0),MAX(0,N(Tasks[[#This Row],[Free Slack]])),0)</f>
        <v>0</v>
      </c>
      <c r="EZ32" s="89" t="str">
        <f aca="false">IF(NOT(Tasks[[#This Row],[_IsLeaf]]=1),"",IF(Tasks[[#This Row],[_AlapShift]]=0,Tasks[[#This Row],[_LeafCalcStart]],WORKDAY.INTL(Tasks[[#This Row],[_LeafCalcStart]],Tasks[[#This Row],[_AlapShift]],WorkWeek,Holidays)))</f>
        <v/>
      </c>
      <c r="FA32" s="89" t="str">
        <f aca="false">IF(NOT(Tasks[[#This Row],[_IsLeaf]]=1),"",IF(Tasks[[#This Row],[_AlapShift]]=0,Tasks[[#This Row],[_LeafCalcFinish]],WORKDAY.INTL(Tasks[[#This Row],[_LeafCalcFinish]],Tasks[[#This Row],[_AlapShift]],WorkWeek,Holidays)))</f>
        <v/>
      </c>
      <c r="FB32" s="89" t="str">
        <f aca="false">IF(NOT(Tasks[[#This Row],[_IsLeaf]]=1),"",IF(Tasks[[#This Row],[_AlapShift]]=0,Tasks[[#This Row],[_LeafFcstStart]],WORKDAY.INTL(Tasks[[#This Row],[_LeafFcstStart]],Tasks[[#This Row],[_AlapShift]],WorkWeek,Holidays)))</f>
        <v/>
      </c>
      <c r="FC32" s="89" t="str">
        <f aca="false">IF(NOT(Tasks[[#This Row],[_IsLeaf]]=1),"",IF(Tasks[[#This Row],[_AlapShift]]=0,Tasks[[#This Row],[_LeafFcstFinish]],WORKDAY.INTL(Tasks[[#This Row],[_LeafFcstFinish]],Tasks[[#This Row],[_AlapShift]],WorkWeek,Holidays)))</f>
        <v/>
      </c>
      <c r="FD32" s="89" t="str">
        <f aca="false">IF(Tasks[[#This Row],[Task Name]]="","",IF(Tasks[[#This Row],[_IsSummary]],MIN(INDEX(Tasks[_ShownCalcStart],Tasks[[#This Row],[_Row]]+1):INDEX(Tasks[_ShownCalcStart],Tasks[[#This Row],[_Row]]+Tasks[[#This Row],[_Descendants]])),Tasks[[#This Row],[_ShownCalcStart]]))</f>
        <v/>
      </c>
      <c r="FE32" s="89" t="str">
        <f aca="false">IF(Tasks[[#This Row],[Task Name]]="","",IF(Tasks[[#This Row],[_IsSummary]],MAX(INDEX(Tasks[_ShownCalcFinish],Tasks[[#This Row],[_Row]]+1):INDEX(Tasks[_ShownCalcFinish],Tasks[[#This Row],[_Row]]+Tasks[[#This Row],[_Descendants]])),Tasks[[#This Row],[_ShownCalcFinish]]))</f>
        <v/>
      </c>
      <c r="FF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2" s="42" t="n">
        <f aca="false">IF(AND(Tasks[[#This Row],[_IsLeaf]]=1,Tasks[[#This Row],[_LeafTotalWork]]&gt;0),NETWORKDAYS.INTL(ProjectStart,Tasks[[#This Row],[_ShownFcstStart]],WorkWeek,Holidays),0)</f>
        <v>0</v>
      </c>
      <c r="FS32" s="42" t="n">
        <f aca="false">IF(AND(Tasks[[#This Row],[_IsLeaf]]=1,Tasks[[#This Row],[_LeafTotalWork]]&gt;0),MAX(Tasks[[#This Row],[_StartWorkday]],NETWORKDAYS.INTL(ProjectStart,Tasks[[#This Row],[_ShownFcstFinish]],WorkWeek,Holidays)),0)</f>
        <v>0</v>
      </c>
      <c r="FT32" s="42" t="n">
        <f aca="false">IF(AND(Tasks[[#This Row],[_IsLeaf]]=1,Tasks[[#This Row],[_LeafTotalWork]]&gt;0),Tasks[[#This Row],[_LeafWork]]/(Tasks[[#This Row],[_FinishWorkday]]-Tasks[[#This Row],[_StartWorkday]]+1),0)</f>
        <v>0</v>
      </c>
      <c r="FU32" s="42" t="n">
        <f aca="false">Tasks[[#This Row],[_WorkPerWorkday]]*(Tasks[[#This Row],[_StartWorkday]]-1)</f>
        <v>-0</v>
      </c>
      <c r="FV32" s="42" t="n">
        <f aca="false">IF(Tasks[[#This Row],[_IsLeaf]]=1,MAX(N(Tasks[[#This Row],[_Days]]),0.1),0)</f>
        <v>0</v>
      </c>
      <c r="FW32" s="42" t="n">
        <f aca="false">Tasks[[#This Row],[_WeightDur]]*Tasks[[#This Row],[_LeafProgress]]</f>
        <v>0</v>
      </c>
      <c r="FX32" s="42" t="n">
        <f aca="false">Tasks[[#This Row],[_WeightDur]]*Tasks[[#This Row],[_PlannedPct]]</f>
        <v>0</v>
      </c>
      <c r="FY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2" s="42" t="str">
        <f aca="false">IF(AND(Tasks[[#This Row],[_IsLeaf]]=1,N(Tasks[[#This Row],[_Days]])=0,Tasks[[#This Row],[_LeafProgress]]&lt;1),Tasks[[#This Row],[_ShownFcstFinish]]+Tasks[[#This Row],[_Row]]/100000,"")</f>
        <v/>
      </c>
      <c r="GA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2" s="42" t="str">
        <f aca="false">IF(Tasks[[#This Row],[Task Name]]="","",LEFT(Tasks[[#This Row],[WBS]],FIND(".",Tasks[[#This Row],[WBS]]&amp;".")-1))</f>
        <v/>
      </c>
      <c r="GC32" s="42" t="str">
        <f aca="false">IF(AND(Tasks[[#This Row],[Task Name]]&lt;&gt;"",Tasks[[#This Row],[_Level]]=1),Tasks[[#This Row],[_Row]],"")</f>
        <v/>
      </c>
      <c r="GD32" s="42" t="str">
        <f aca="false">IF(AND(Tasks[[#This Row],[_IsLeaf]]=1,N(Tasks[[#This Row],[_Days]])=0),Tasks[[#This Row],[Planned Finish]]+Tasks[[#This Row],[_Row]]/100000,"")</f>
        <v/>
      </c>
      <c r="GE32" s="42" t="str">
        <f aca="false">IF(AND(Tasks[[#This Row],[_IsLeaf]]=1,Tasks[[#This Row],[_LeafProgress]]&lt;1,OR(N(Tasks[[#This Row],[Finish Var]])&gt;0,Tasks[[#This Row],[Status]]="Late Start")),MAX(0,Tasks[[#This Row],[Finish Var]])+1-Tasks[[#This Row],[_Row]]/1000000,"")</f>
        <v/>
      </c>
      <c r="GF32" s="42" t="str">
        <f aca="false">IF(AND(Tasks[[#This Row],[_IsLeaf]]=1,N(Tasks[[#This Row],[Actual Start]])=0,Tasks[[#This Row],[_ShownFcstStart]]&gt;=StatusDate,Tasks[[#This Row],[_ShownFcstStart]]&lt;=LookaheadEnd),Tasks[[#This Row],[_ShownFcstStart]]+Tasks[[#This Row],[_Row]]/100000,"")</f>
        <v/>
      </c>
      <c r="GG32" s="42" t="str">
        <f aca="false">IF(AND(Tasks[[#This Row],[_IsLeaf]]=1,Tasks[[#This Row],[_LeafProgress]]&lt;1,Tasks[[#This Row],[_ShownFcstFinish]]&gt;=StatusDate,Tasks[[#This Row],[_ShownFcstFinish]]&lt;=LookaheadEnd),Tasks[[#This Row],[_ShownFcstFinish]]+Tasks[[#This Row],[_Row]]/100000,"")</f>
        <v/>
      </c>
      <c r="GH32" s="42" t="str">
        <f aca="false">IF(Tasks[[#This Row],[_LeafCritical]],Tasks[[#This Row],[_ShownFcstStart]]+Tasks[[#This Row],[_Row]]/100000,"")</f>
        <v/>
      </c>
      <c r="GI32" s="42" t="n">
        <f aca="false">Tasks[[#This Row],[_LeafWork]]*Tasks[[#This Row],[_LeafProgress]]</f>
        <v>0</v>
      </c>
      <c r="GJ32" s="89" t="str">
        <f aca="false">IF(AND(Tasks[[#This Row],[_IsLeaf]]=1,Tasks[[#This Row],[_LeafProgress]]&gt;=1),IF(N(Tasks[[#This Row],[Actual Finish]])&gt;0,Tasks[[#This Row],[Actual Finish]],Tasks[[#This Row],[_ShownFcstFinish]]),"")</f>
        <v/>
      </c>
      <c r="GK32" s="42" t="n">
        <f aca="false">IF(Tasks[[#This Row],[_IsLeaf]]=1,N(Tasks[[#This Row],[Story Points]]),0)</f>
        <v>0</v>
      </c>
      <c r="GL32" s="42" t="str">
        <f aca="false">""</f>
        <v/>
      </c>
      <c r="GM32" s="88" t="b">
        <f aca="false">IF(Tasks[[#This Row],[Task Name]]="",FALSE(),AND(Tasks[[#This Row],[_IsLeaf]]=1,N(Tasks[[#This Row],[_Days]])=0))</f>
        <v>0</v>
      </c>
      <c r="GN32" s="89" t="n">
        <f aca="false">IF(Tasks[[#This Row],[Task Name]]="",0,IF(AND(Tasks[[#This Row],[_IsLeaf]]=1,NOT(Tasks[[#This Row],[_IsMilestone]]),N(Tasks[[#This Row],[Progress]])&gt;0),Tasks[[#This Row],[Start]],0))</f>
        <v>0</v>
      </c>
      <c r="GO32" s="89" t="n">
        <f aca="false">IF(Tasks[[#This Row],[_DoneFrom]]=0,0,IF(Tasks[[#This Row],[Progress]]&gt;=1,Tasks[[#This Row],[Finish]],MAX(Tasks[[#This Row],[_DoneFrom]],Tasks[[#This Row],[Start]]+ROUND((Tasks[[#This Row],[Finish]]-Tasks[[#This Row],[Start]]+1)*Tasks[[#This Row],[Progress]],0)-1)))</f>
        <v>0</v>
      </c>
      <c r="GP32" s="89" t="n">
        <f aca="false">IF(Tasks[[#This Row],[Task Name]]="",0,IF(OR(NOT(Tasks[[#This Row],[_IsLeaf]]=1),Tasks[[#This Row],[_IsMilestone]],N(Tasks[[#This Row],[Progress]])&gt;=1),0,IF(Tasks[[#This Row],[_DoneTo]]&gt;0,Tasks[[#This Row],[_DoneTo]]+1,Tasks[[#This Row],[Start]])))</f>
        <v>0</v>
      </c>
      <c r="GQ32" s="89" t="n">
        <f aca="false">IF(Tasks[[#This Row],[_RemFrom]]=0,0,Tasks[[#This Row],[Finish]])</f>
        <v>0</v>
      </c>
      <c r="GR32" s="88" t="b">
        <f aca="false">IF(Tasks[[#This Row],[Task Name]]="",FALSE(),OR(NOT(BaselineSet),N(Tasks[[#This Row],[Baseline Start]])&gt;0))</f>
        <v>0</v>
      </c>
      <c r="GS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2" s="90" t="str">
        <f aca="false">IF(Tasks[[#This Row],[_IsLeaf]]=1,Tasks[[#This Row],[_Row]],"")</f>
        <v/>
      </c>
      <c r="GW32" s="90" t="str">
        <f aca="false">IFERROR(INDEX(Tasks[UID],SMALL(Tasks[_PickKey],Tasks[[#This Row],[_Row]]))&amp;" "&amp;INDEX(Tasks[Task Name],SMALL(Tasks[_PickKey],Tasks[[#This Row],[_Row]])),"")</f>
        <v/>
      </c>
      <c r="GX32" s="42" t="str">
        <f aca="false">IF(Tasks[[#This Row],[Task Name]]="","",IF(Tasks[[#This Row],[_IsSummary]],NETWORKDAYS.INTL(Tasks[[#This Row],[Start]],Tasks[[#This Row],[Finish]],WorkWeek,Holidays),N(Tasks[[#This Row],[_Days]])))</f>
        <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3"/>
      <c r="U33" s="23"/>
      <c r="V33" s="83"/>
      <c r="W33" s="23"/>
      <c r="X33" s="83"/>
      <c r="Y33" s="23"/>
      <c r="Z33" s="83"/>
      <c r="AA33" s="23"/>
      <c r="AB33" s="23"/>
      <c r="AC33" s="7"/>
      <c r="AD33" s="7"/>
      <c r="AE33" s="62" t="str">
        <f aca="false">IF(Tasks[[#This Row],[Task Name]]="","",IF(Tasks[[#This Row],[_IsSummary]],MIN(INDEX(Tasks[_ShownFcstStart],Tasks[[#This Row],[_Row]]+1):INDEX(Tasks[_ShownFcstStart],Tasks[[#This Row],[_Row]]+Tasks[[#This Row],[_Descendants]])),Tasks[[#This Row],[_ShownFcstStart]]))</f>
        <v/>
      </c>
      <c r="AF33" s="62"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3" s="7"/>
      <c r="AK33" s="22"/>
      <c r="AL33" s="23"/>
      <c r="AM33" s="7"/>
      <c r="AN33" s="46"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2" t="str">
        <f aca="false">IF(Tasks[[#This Row],[Task Name]]="","",IF(N(Tasks[[#This Row],[Baseline Start]])&gt;0,Tasks[[#This Row],[Baseline Start]],Tasks[[#This Row],[_CalcStart]]))</f>
        <v/>
      </c>
      <c r="AR33" s="62" t="str">
        <f aca="false">IF(Tasks[[#This Row],[Task Name]]="","",IF(N(Tasks[[#This Row],[Baseline Finish]])&gt;0,Tasks[[#This Row],[Baseline Finish]],Tasks[[#This Row],[_CalcFinish]]))</f>
        <v/>
      </c>
      <c r="AS33" s="46" t="str">
        <f aca="false">IF(Tasks[[#This Row],[Task Name]]="","",IF(Tasks[[#This Row],[Start]]&gt;=Tasks[[#This Row],[Planned Start]],NETWORKDAYS.INTL(Tasks[[#This Row],[Planned Start]],Tasks[[#This Row],[Start]],WorkWeek,Holidays)-1,1-NETWORKDAYS.INTL(Tasks[[#This Row],[Start]],Tasks[[#This Row],[Planned Start]],WorkWeek,Holidays)))</f>
        <v/>
      </c>
      <c r="AT33" s="62" t="str">
        <f aca="false">IF(Tasks[[#This Row],[Task Name]]="","",IF(Tasks[[#This Row],[_IsSummary]],MIN(INDEX(Tasks[_LeafLateStart],Tasks[[#This Row],[_Row]]+1):INDEX(Tasks[_LeafLateStart],Tasks[[#This Row],[_Row]]+Tasks[[#This Row],[_Descendants]])),Tasks[[#This Row],[_LeafLateStart]]))</f>
        <v/>
      </c>
      <c r="AU33" s="62" t="str">
        <f aca="false">IF(Tasks[[#This Row],[Task Name]]="","",IF(Tasks[[#This Row],[_IsSummary]],MAX(INDEX(Tasks[_LeafLateFinish],Tasks[[#This Row],[_Row]]+1):INDEX(Tasks[_LeafLateFinish],Tasks[[#This Row],[_Row]]+Tasks[[#This Row],[_Descendants]])),Tasks[[#This Row],[_LeafLateFinish]]))</f>
        <v/>
      </c>
      <c r="AV33" s="46"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4"/>
      <c r="BA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5"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6"/>
      <c r="BJ33" s="22"/>
      <c r="BK33" s="46" t="str">
        <f aca="false">IF(OR(Tasks[[#This Row],[Task Name]]="",Tasks[[#This Row],[Baseline Duration]]=""),"",Tasks[[#This Row],[_SpanDays]]-N(Tasks[[#This Row],[Baseline Duration]]))</f>
        <v/>
      </c>
      <c r="BL33" s="85" t="str">
        <f aca="false">IF(OR(Tasks[[#This Row],[Task Name]]="",Tasks[[#This Row],[Baseline Work]]=""),"",Tasks[[#This Row],[Work]]-N(Tasks[[#This Row],[Baseline Work]]))</f>
        <v/>
      </c>
      <c r="BM33" s="62" t="str">
        <f aca="false">IF(Tasks[[#This Row],[Task Name]]="","",IF(OR(TakeBaseline="Yes",N(Tasks[[#This Row],[Baseline Start]])=0),Tasks[[#This Row],[Start]],Tasks[[#This Row],[Baseline Start]]))</f>
        <v/>
      </c>
      <c r="BN33" s="62"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5" t="str">
        <f aca="false">IF(Tasks[[#This Row],[Task Name]]="","",IF(OR(TakeBaseline="Yes",N(Tasks[[#This Row],[Baseline Work]])=0),Tasks[[#This Row],[Work]],Tasks[[#This Row],[Baseline Work]]))</f>
        <v/>
      </c>
      <c r="BQ33" s="7"/>
      <c r="BR33" s="7"/>
      <c r="BS33" s="22"/>
      <c r="BT33" s="87"/>
      <c r="BU33" s="42" t="str">
        <f aca="false">IF(Tasks[[#This Row],[Task Name]]="","",MAX(1,N(Tasks[[#This Row],[Level]])))</f>
        <v/>
      </c>
      <c r="BV33" s="42" t="n">
        <f aca="false">ROW()-ROW(Tasks[[#Headers],[ID]])</f>
        <v>28</v>
      </c>
      <c r="BW33" s="42" t="n">
        <f aca="false">IF(OR(Tasks[[#This Row],[Task Name]]="",Tasks[[#This Row],[_Level]]&lt;=1),0,IFERROR(LOOKUP(2,1/(Tasks[[#Headers],[_Level]]:Tasks[[#This Row],[_Level]]=Tasks[[#This Row],[_Level]]-1),ROW(Tasks[[#Headers],[_Level]]:Tasks[[#This Row],[_Level]])),0))</f>
        <v>0</v>
      </c>
      <c r="BX33" s="42" t="n">
        <f aca="false">IFERROR(N(INDEX(Tasks[_Level],Tasks[[#This Row],[_Row]]+1)),0)</f>
        <v>0</v>
      </c>
      <c r="BY33" s="88" t="b">
        <f aca="false">AND(Tasks[[#This Row],[Task Name]]&lt;&gt;"",Tasks[[#This Row],[_NextLevel]]&gt;Tasks[[#This Row],[_Level]])</f>
        <v>0</v>
      </c>
      <c r="BZ33" s="42" t="n">
        <f aca="false">IF(Tasks[[#This Row],[_IsSummary]],COUNTIF(Tasks[WBS],Tasks[[#This Row],[WBS]]&amp;".*"),0)</f>
        <v>0</v>
      </c>
      <c r="CA33" s="42" t="n">
        <f aca="false">IF(AND(Tasks[[#This Row],[Task Name]]&lt;&gt;"",NOT(Tasks[[#This Row],[_IsSummary]])),1,0)</f>
        <v>0</v>
      </c>
      <c r="CB33" s="42" t="n">
        <f aca="false">IF(N(Tasks[[#This Row],[_Pred1UID]])=0,0,IFERROR(MATCH(Tasks[[#This Row],[_Pred1UID]],Tasks[UID],0),-1))</f>
        <v>0</v>
      </c>
      <c r="CC33" s="42" t="n">
        <f aca="false">IF(N(Tasks[[#This Row],[_Pred2UID]])=0,0,IFERROR(MATCH(Tasks[[#This Row],[_Pred2UID]],Tasks[UID],0),-1))</f>
        <v>0</v>
      </c>
      <c r="CD33" s="42" t="n">
        <f aca="false">IF(N(Tasks[[#This Row],[_Pred3UID]])=0,0,IFERROR(MATCH(Tasks[[#This Row],[_Pred3UID]],Tasks[UID],0),-1))</f>
        <v>0</v>
      </c>
      <c r="CE33" s="42" t="n">
        <f aca="false">IF(N(Tasks[[#This Row],[_Pred4UID]])=0,0,IFERROR(MATCH(Tasks[[#This Row],[_Pred4UID]],Tasks[UID],0),-1))</f>
        <v>0</v>
      </c>
      <c r="CF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3" s="89" t="n">
        <f aca="false">IF(OR(Tasks[[#This Row],[_ConstraintCode]]=2,Tasks[[#This Row],[_ConstraintCode]]=3,Tasks[[#This Row],[_ConstraintCode]]=4,Tasks[[#This Row],[_ConstraintCode]]=6),Tasks[[#This Row],[_ConstraintStart]],0)</f>
        <v>0</v>
      </c>
      <c r="CI33" s="89" t="n">
        <f aca="false">IF(OR(Tasks[[#This Row],[_ConstraintCode]]=2,Tasks[[#This Row],[_ConstraintCode]]=3,Tasks[[#This Row],[_ConstraintCode]]=5,Tasks[[#This Row],[_ConstraintCode]]=7),Tasks[[#This Row],[_ConstraintStart]],2958465)</f>
        <v>2958465</v>
      </c>
      <c r="CJ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3" s="89" t="str">
        <f aca="false">IF(NOT(Tasks[[#This Row],[_IsLeaf]]=1),"",IF(N(Tasks[[#This Row],[_Days]])&lt;=0,Tasks[[#This Row],[_LeafCalcStart]],WORKDAY.INTL(Tasks[[#This Row],[_LeafCalcStart]],Tasks[[#This Row],[_Days]]-1,WorkWeek,Holidays)))</f>
        <v/>
      </c>
      <c r="CL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3" s="42" t="str">
        <f aca="false">IF(Tasks[[#This Row],[_Predecessors]]="","",TRIM(MID(SUBSTITUTE(SUBSTITUTE(SUBSTITUTE(UPPER(Tasks[[#This Row],[_Predecessors]]),";",",")," ",""),",",REPT(" ",99)),1,99)))</f>
        <v/>
      </c>
      <c r="CO33" s="42" t="str">
        <f aca="false">IF(Tasks[[#This Row],[_Pred1Text]]="","",IFERROR(VALUE(LEFT(Tasks[[#This Row],[_Pred1Text]],MIN(FIND("F",Tasks[[#This Row],[_Pred1Text]]&amp;"F"),FIND("S",Tasks[[#This Row],[_Pred1Text]]&amp;"S"),FIND("+",Tasks[[#This Row],[_Pred1Text]]&amp;"+"),FIND("-",Tasks[[#This Row],[_Pred1Text]]&amp;"-"))-1)),""))</f>
        <v/>
      </c>
      <c r="CP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3" s="42" t="str">
        <f aca="false">IF(Tasks[[#This Row],[_Pred1Text]]="","",TRIM(MID(SUBSTITUTE(SUBSTITUTE(SUBSTITUTE(UPPER(Tasks[[#This Row],[_Predecessors]]),";",",")," ",""),",",REPT(" ",99)),100,99)))</f>
        <v/>
      </c>
      <c r="CS33" s="42" t="str">
        <f aca="false">IF(Tasks[[#This Row],[_Pred2Text]]="","",IFERROR(VALUE(LEFT(Tasks[[#This Row],[_Pred2Text]],MIN(FIND("F",Tasks[[#This Row],[_Pred2Text]]&amp;"F"),FIND("S",Tasks[[#This Row],[_Pred2Text]]&amp;"S"),FIND("+",Tasks[[#This Row],[_Pred2Text]]&amp;"+"),FIND("-",Tasks[[#This Row],[_Pred2Text]]&amp;"-"))-1)),""))</f>
        <v/>
      </c>
      <c r="CT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3" s="42" t="str">
        <f aca="false">IF(Tasks[[#This Row],[_Pred2Text]]="","",TRIM(MID(SUBSTITUTE(SUBSTITUTE(SUBSTITUTE(UPPER(Tasks[[#This Row],[_Predecessors]]),";",",")," ",""),",",REPT(" ",99)),199,99)))</f>
        <v/>
      </c>
      <c r="CW33" s="42" t="str">
        <f aca="false">IF(Tasks[[#This Row],[_Pred3Text]]="","",IFERROR(VALUE(LEFT(Tasks[[#This Row],[_Pred3Text]],MIN(FIND("F",Tasks[[#This Row],[_Pred3Text]]&amp;"F"),FIND("S",Tasks[[#This Row],[_Pred3Text]]&amp;"S"),FIND("+",Tasks[[#This Row],[_Pred3Text]]&amp;"+"),FIND("-",Tasks[[#This Row],[_Pred3Text]]&amp;"-"))-1)),""))</f>
        <v/>
      </c>
      <c r="CX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3" s="42" t="str">
        <f aca="false">IF(Tasks[[#This Row],[_Pred3Text]]="","",TRIM(MID(SUBSTITUTE(SUBSTITUTE(SUBSTITUTE(UPPER(Tasks[[#This Row],[_Predecessors]]),";",",")," ",""),",",REPT(" ",99)),298,99)))</f>
        <v/>
      </c>
      <c r="DA33" s="42" t="str">
        <f aca="false">IF(Tasks[[#This Row],[_Pred4Text]]="","",IFERROR(VALUE(LEFT(Tasks[[#This Row],[_Pred4Text]],MIN(FIND("F",Tasks[[#This Row],[_Pred4Text]]&amp;"F"),FIND("S",Tasks[[#This Row],[_Pred4Text]]&amp;"S"),FIND("+",Tasks[[#This Row],[_Pred4Text]]&amp;"+"),FIND("-",Tasks[[#This Row],[_Pred4Text]]&amp;"-"))-1)),""))</f>
        <v/>
      </c>
      <c r="DB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3" s="42" t="str">
        <f aca="false">IF(OR(Tasks[[#This Row],[Task Name]]="",Tasks[[#This Row],[_Resources]]=""),"",TRIM(MID(SUBSTITUTE(Tasks[[#This Row],[_Resources]],",",REPT(" ",99)),1,99)))</f>
        <v/>
      </c>
      <c r="DE33" s="42" t="str">
        <f aca="false">IF(Tasks[[#This Row],[_Res1Text]]="","",TRIM(MID(SUBSTITUTE(Tasks[[#This Row],[_Resources]],",",REPT(" ",99)),100,99)))</f>
        <v/>
      </c>
      <c r="DF33" s="42" t="str">
        <f aca="false">IF(Tasks[[#This Row],[_Res2Text]]="","",TRIM(MID(SUBSTITUTE(Tasks[[#This Row],[_Resources]],",",REPT(" ",99)),199,99)))</f>
        <v/>
      </c>
      <c r="DG33" s="42" t="str">
        <f aca="false">IF(Tasks[[#This Row],[_Res3Text]]="","",TRIM(MID(SUBSTITUTE(Tasks[[#This Row],[_Resources]],",",REPT(" ",99)),298,99)))</f>
        <v/>
      </c>
      <c r="DH33" s="42" t="n">
        <f aca="false">IF(Tasks[[#This Row],[_Res1Text]]="",0,IFERROR(MATCH(TRIM(LEFT(Tasks[[#This Row],[_Res1Text]],FIND("[",Tasks[[#This Row],[_Res1Text]]&amp;"[")-1)),res_Name,0),IFERROR(MATCH(TRIM(LEFT(Tasks[[#This Row],[_Res1Text]],FIND("[",Tasks[[#This Row],[_Res1Text]]&amp;"[")-1)),res_Initials,0),0)))</f>
        <v>0</v>
      </c>
      <c r="DI33" s="42" t="n">
        <f aca="false">IF(Tasks[[#This Row],[_Res2Text]]="",0,IFERROR(MATCH(TRIM(LEFT(Tasks[[#This Row],[_Res2Text]],FIND("[",Tasks[[#This Row],[_Res2Text]]&amp;"[")-1)),res_Name,0),IFERROR(MATCH(TRIM(LEFT(Tasks[[#This Row],[_Res2Text]],FIND("[",Tasks[[#This Row],[_Res2Text]]&amp;"[")-1)),res_Initials,0),0)))</f>
        <v>0</v>
      </c>
      <c r="DJ33" s="42" t="n">
        <f aca="false">IF(Tasks[[#This Row],[_Res3Text]]="",0,IFERROR(MATCH(TRIM(LEFT(Tasks[[#This Row],[_Res3Text]],FIND("[",Tasks[[#This Row],[_Res3Text]]&amp;"[")-1)),res_Name,0),IFERROR(MATCH(TRIM(LEFT(Tasks[[#This Row],[_Res3Text]],FIND("[",Tasks[[#This Row],[_Res3Text]]&amp;"[")-1)),res_Initials,0),0)))</f>
        <v>0</v>
      </c>
      <c r="DK33" s="42" t="n">
        <f aca="false">IF(Tasks[[#This Row],[_Res4Text]]="",0,IFERROR(MATCH(TRIM(LEFT(Tasks[[#This Row],[_Res4Text]],FIND("[",Tasks[[#This Row],[_Res4Text]]&amp;"[")-1)),res_Name,0),IFERROR(MATCH(TRIM(LEFT(Tasks[[#This Row],[_Res4Text]],FIND("[",Tasks[[#This Row],[_Res4Text]]&amp;"[")-1)),res_Initials,0),0)))</f>
        <v>0</v>
      </c>
      <c r="DL33" s="42" t="str">
        <f aca="false">IF(Tasks[[#This Row],[_Res1Text]]="","",IF(Tasks[[#This Row],[_Res1Row]]&gt;0,INDEX(res_Name,Tasks[[#This Row],[_Res1Row]]),TRIM(LEFT(Tasks[[#This Row],[_Res1Text]],FIND("[",Tasks[[#This Row],[_Res1Text]]&amp;"[")-1))))</f>
        <v/>
      </c>
      <c r="DM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3" s="42" t="n">
        <f aca="false">IF(NOT(Tasks[[#This Row],[_IsLeaf]]=1),0,(Tasks[[#This Row],[_Resource1]]&lt;&gt;"")+(Tasks[[#This Row],[_Res2]]&lt;&gt;"")+(Tasks[[#This Row],[_Res3]]&lt;&gt;"")+(Tasks[[#This Row],[_Res4]]&lt;&gt;""))</f>
        <v>0</v>
      </c>
      <c r="DO33" s="42" t="str">
        <f aca="false">IF(Tasks[[#This Row],[_Res2Text]]="","",IF(Tasks[[#This Row],[_Res2Row]]&gt;0,INDEX(res_Name,Tasks[[#This Row],[_Res2Row]]),TRIM(LEFT(Tasks[[#This Row],[_Res2Text]],FIND("[",Tasks[[#This Row],[_Res2Text]]&amp;"[")-1))))</f>
        <v/>
      </c>
      <c r="DP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3" s="42" t="n">
        <f aca="false">IF(OR(NOT(Tasks[[#This Row],[_IsLeaf]]=1),Tasks[[#This Row],[_Res2Row]]=0),0,N(Tasks[[#This Row],[_Days]])*HoursPerDay*IF(Tasks[[#This Row],[_Res2Units]]="",DefaultUnits,Tasks[[#This Row],[_Res2Units]]))</f>
        <v>0</v>
      </c>
      <c r="DR33" s="42" t="n">
        <f aca="false">IF(AND(AND(Tasks[[#This Row],[_IsLeaf]]=1,Tasks[[#This Row],[_LeafTotalWork]]&gt;0),Tasks[[#This Row],[_Res2Work]]&gt;0),Tasks[[#This Row],[_Res2Work]]/(Tasks[[#This Row],[_FinishWorkday]]-Tasks[[#This Row],[_StartWorkday]]+1),0)</f>
        <v>0</v>
      </c>
      <c r="DS33" s="42" t="n">
        <f aca="false">Tasks[[#This Row],[_Res2WorkPerWD]]*MAX(0,Tasks[[#This Row],[_StartWorkday]]-1)</f>
        <v>0</v>
      </c>
      <c r="DT33" s="42" t="n">
        <f aca="false">Tasks[[#This Row],[_Res2Work]]*Tasks[[#This Row],[_LeafProgress]]</f>
        <v>0</v>
      </c>
      <c r="DU33" s="42" t="str">
        <f aca="false">IF(Tasks[[#This Row],[_Res3Text]]="","",IF(Tasks[[#This Row],[_Res3Row]]&gt;0,INDEX(res_Name,Tasks[[#This Row],[_Res3Row]]),TRIM(LEFT(Tasks[[#This Row],[_Res3Text]],FIND("[",Tasks[[#This Row],[_Res3Text]]&amp;"[")-1))))</f>
        <v/>
      </c>
      <c r="DV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3" s="42" t="n">
        <f aca="false">IF(OR(NOT(Tasks[[#This Row],[_IsLeaf]]=1),Tasks[[#This Row],[_Res3Row]]=0),0,N(Tasks[[#This Row],[_Days]])*HoursPerDay*IF(Tasks[[#This Row],[_Res3Units]]="",DefaultUnits,Tasks[[#This Row],[_Res3Units]]))</f>
        <v>0</v>
      </c>
      <c r="DX33" s="42" t="n">
        <f aca="false">IF(AND(AND(Tasks[[#This Row],[_IsLeaf]]=1,Tasks[[#This Row],[_LeafTotalWork]]&gt;0),Tasks[[#This Row],[_Res3Work]]&gt;0),Tasks[[#This Row],[_Res3Work]]/(Tasks[[#This Row],[_FinishWorkday]]-Tasks[[#This Row],[_StartWorkday]]+1),0)</f>
        <v>0</v>
      </c>
      <c r="DY33" s="42" t="n">
        <f aca="false">Tasks[[#This Row],[_Res3WorkPerWD]]*MAX(0,Tasks[[#This Row],[_StartWorkday]]-1)</f>
        <v>0</v>
      </c>
      <c r="DZ33" s="42" t="n">
        <f aca="false">Tasks[[#This Row],[_Res3Work]]*Tasks[[#This Row],[_LeafProgress]]</f>
        <v>0</v>
      </c>
      <c r="EA33" s="42" t="str">
        <f aca="false">IF(Tasks[[#This Row],[_Res4Text]]="","",IF(Tasks[[#This Row],[_Res4Row]]&gt;0,INDEX(res_Name,Tasks[[#This Row],[_Res4Row]]),TRIM(LEFT(Tasks[[#This Row],[_Res4Text]],FIND("[",Tasks[[#This Row],[_Res4Text]]&amp;"[")-1))))</f>
        <v/>
      </c>
      <c r="EB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3" s="42" t="n">
        <f aca="false">IF(OR(NOT(Tasks[[#This Row],[_IsLeaf]]=1),Tasks[[#This Row],[_Res4Row]]=0),0,N(Tasks[[#This Row],[_Days]])*HoursPerDay*IF(Tasks[[#This Row],[_Res4Units]]="",DefaultUnits,Tasks[[#This Row],[_Res4Units]]))</f>
        <v>0</v>
      </c>
      <c r="ED33" s="42" t="n">
        <f aca="false">IF(AND(AND(Tasks[[#This Row],[_IsLeaf]]=1,Tasks[[#This Row],[_LeafTotalWork]]&gt;0),Tasks[[#This Row],[_Res4Work]]&gt;0),Tasks[[#This Row],[_Res4Work]]/(Tasks[[#This Row],[_FinishWorkday]]-Tasks[[#This Row],[_StartWorkday]]+1),0)</f>
        <v>0</v>
      </c>
      <c r="EE33" s="42" t="n">
        <f aca="false">Tasks[[#This Row],[_Res4WorkPerWD]]*MAX(0,Tasks[[#This Row],[_StartWorkday]]-1)</f>
        <v>0</v>
      </c>
      <c r="EF33" s="42" t="n">
        <f aca="false">Tasks[[#This Row],[_Res4Work]]*Tasks[[#This Row],[_LeafProgress]]</f>
        <v>0</v>
      </c>
      <c r="EG33" s="42" t="n">
        <f aca="false">IF(ISNUMBER(Tasks[[#This Row],[% Complete]]),Tasks[[#This Row],[% Complete]],IF(Tasks[[#This Row],[Stage]]="",0,IFERROR(INDEX(stg_Pct,MATCH(Tasks[[#This Row],[Stage]],stg_Name,0)),0)))</f>
        <v>0</v>
      </c>
      <c r="EH33" s="42" t="n">
        <f aca="false">IF(NOT(Tasks[[#This Row],[_IsLeaf]]=1),0,IF(N(Tasks[[#This Row],[Actual Finish]])&gt;0,1,MIN(1,Tasks[[#This Row],[_Pct]])))</f>
        <v>0</v>
      </c>
      <c r="EI33" s="42" t="n">
        <f aca="false">IF(OR(NOT(Tasks[[#This Row],[_IsLeaf]]=1),Tasks[[#This Row],[_Res1Row]]=0),0,N(Tasks[[#This Row],[_Days]])*HoursPerDay*IF(Tasks[[#This Row],[_Units1]]="",DefaultUnits,Tasks[[#This Row],[_Units1]]))</f>
        <v>0</v>
      </c>
      <c r="EJ33" s="42" t="n">
        <f aca="false">Tasks[[#This Row],[_LeafWork]]+Tasks[[#This Row],[_Res2Work]]+Tasks[[#This Row],[_Res3Work]]+Tasks[[#This Row],[_Res4Work]]</f>
        <v>0</v>
      </c>
      <c r="EK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3" s="42" t="n">
        <f aca="false">IF(NOT(Tasks[[#This Row],[_IsLeaf]]=1),0,MAX(_xlfn.MAXIFS(Tasks[_Row],Tasks[_Pred1UID],Tasks[[#This Row],[UID]]),_xlfn.MAXIFS(Tasks[_Row],Tasks[_Pred2UID],Tasks[[#This Row],[UID]]),_xlfn.MAXIFS(Tasks[_Row],Tasks[_Pred3UID],Tasks[[#This Row],[UID]]),_xlfn.MAXIFS(Tasks[_Row],Tasks[_Pred4UID],Tasks[[#This Row],[UID]])))</f>
        <v>0</v>
      </c>
      <c r="ET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3" s="89" t="str">
        <f aca="false">IF(NOT(Tasks[[#This Row],[_IsLeaf]]=1),"",IF(N(Tasks[[#This Row],[_Days]])&lt;=0,Tasks[[#This Row],[_LeafLateFinish]],WORKDAY.INTL(Tasks[[#This Row],[_LeafLateFinish]],-(Tasks[[#This Row],[_Days]]-1),WorkWeek,Holidays)))</f>
        <v/>
      </c>
      <c r="EW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3" s="88" t="b">
        <f aca="false">AND(Tasks[[#This Row],[_IsLeaf]]=1,Tasks[[#This Row],[_LeafProgress]]&lt;1,N(Tasks[[#This Row],[_LeafTotalSlack]])&lt;=CriticalSlackDays)</f>
        <v>0</v>
      </c>
      <c r="EY33" s="42" t="n">
        <f aca="false">IF(AND(Tasks[[#This Row],[_IsLeaf]]=1,Tasks[[#This Row],[_ConstraintCode]]=1,Tasks[[#This Row],[Mode]]&lt;&gt;"Manual",N(Tasks[[#This Row],[Actual Start]])=0),MAX(0,N(Tasks[[#This Row],[Free Slack]])),0)</f>
        <v>0</v>
      </c>
      <c r="EZ33" s="89" t="str">
        <f aca="false">IF(NOT(Tasks[[#This Row],[_IsLeaf]]=1),"",IF(Tasks[[#This Row],[_AlapShift]]=0,Tasks[[#This Row],[_LeafCalcStart]],WORKDAY.INTL(Tasks[[#This Row],[_LeafCalcStart]],Tasks[[#This Row],[_AlapShift]],WorkWeek,Holidays)))</f>
        <v/>
      </c>
      <c r="FA33" s="89" t="str">
        <f aca="false">IF(NOT(Tasks[[#This Row],[_IsLeaf]]=1),"",IF(Tasks[[#This Row],[_AlapShift]]=0,Tasks[[#This Row],[_LeafCalcFinish]],WORKDAY.INTL(Tasks[[#This Row],[_LeafCalcFinish]],Tasks[[#This Row],[_AlapShift]],WorkWeek,Holidays)))</f>
        <v/>
      </c>
      <c r="FB33" s="89" t="str">
        <f aca="false">IF(NOT(Tasks[[#This Row],[_IsLeaf]]=1),"",IF(Tasks[[#This Row],[_AlapShift]]=0,Tasks[[#This Row],[_LeafFcstStart]],WORKDAY.INTL(Tasks[[#This Row],[_LeafFcstStart]],Tasks[[#This Row],[_AlapShift]],WorkWeek,Holidays)))</f>
        <v/>
      </c>
      <c r="FC33" s="89" t="str">
        <f aca="false">IF(NOT(Tasks[[#This Row],[_IsLeaf]]=1),"",IF(Tasks[[#This Row],[_AlapShift]]=0,Tasks[[#This Row],[_LeafFcstFinish]],WORKDAY.INTL(Tasks[[#This Row],[_LeafFcstFinish]],Tasks[[#This Row],[_AlapShift]],WorkWeek,Holidays)))</f>
        <v/>
      </c>
      <c r="FD33" s="89" t="str">
        <f aca="false">IF(Tasks[[#This Row],[Task Name]]="","",IF(Tasks[[#This Row],[_IsSummary]],MIN(INDEX(Tasks[_ShownCalcStart],Tasks[[#This Row],[_Row]]+1):INDEX(Tasks[_ShownCalcStart],Tasks[[#This Row],[_Row]]+Tasks[[#This Row],[_Descendants]])),Tasks[[#This Row],[_ShownCalcStart]]))</f>
        <v/>
      </c>
      <c r="FE33" s="89" t="str">
        <f aca="false">IF(Tasks[[#This Row],[Task Name]]="","",IF(Tasks[[#This Row],[_IsSummary]],MAX(INDEX(Tasks[_ShownCalcFinish],Tasks[[#This Row],[_Row]]+1):INDEX(Tasks[_ShownCalcFinish],Tasks[[#This Row],[_Row]]+Tasks[[#This Row],[_Descendants]])),Tasks[[#This Row],[_ShownCalcFinish]]))</f>
        <v/>
      </c>
      <c r="FF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3" s="42" t="n">
        <f aca="false">IF(AND(Tasks[[#This Row],[_IsLeaf]]=1,Tasks[[#This Row],[_LeafTotalWork]]&gt;0),NETWORKDAYS.INTL(ProjectStart,Tasks[[#This Row],[_ShownFcstStart]],WorkWeek,Holidays),0)</f>
        <v>0</v>
      </c>
      <c r="FS33" s="42" t="n">
        <f aca="false">IF(AND(Tasks[[#This Row],[_IsLeaf]]=1,Tasks[[#This Row],[_LeafTotalWork]]&gt;0),MAX(Tasks[[#This Row],[_StartWorkday]],NETWORKDAYS.INTL(ProjectStart,Tasks[[#This Row],[_ShownFcstFinish]],WorkWeek,Holidays)),0)</f>
        <v>0</v>
      </c>
      <c r="FT33" s="42" t="n">
        <f aca="false">IF(AND(Tasks[[#This Row],[_IsLeaf]]=1,Tasks[[#This Row],[_LeafTotalWork]]&gt;0),Tasks[[#This Row],[_LeafWork]]/(Tasks[[#This Row],[_FinishWorkday]]-Tasks[[#This Row],[_StartWorkday]]+1),0)</f>
        <v>0</v>
      </c>
      <c r="FU33" s="42" t="n">
        <f aca="false">Tasks[[#This Row],[_WorkPerWorkday]]*(Tasks[[#This Row],[_StartWorkday]]-1)</f>
        <v>-0</v>
      </c>
      <c r="FV33" s="42" t="n">
        <f aca="false">IF(Tasks[[#This Row],[_IsLeaf]]=1,MAX(N(Tasks[[#This Row],[_Days]]),0.1),0)</f>
        <v>0</v>
      </c>
      <c r="FW33" s="42" t="n">
        <f aca="false">Tasks[[#This Row],[_WeightDur]]*Tasks[[#This Row],[_LeafProgress]]</f>
        <v>0</v>
      </c>
      <c r="FX33" s="42" t="n">
        <f aca="false">Tasks[[#This Row],[_WeightDur]]*Tasks[[#This Row],[_PlannedPct]]</f>
        <v>0</v>
      </c>
      <c r="FY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3" s="42" t="str">
        <f aca="false">IF(AND(Tasks[[#This Row],[_IsLeaf]]=1,N(Tasks[[#This Row],[_Days]])=0,Tasks[[#This Row],[_LeafProgress]]&lt;1),Tasks[[#This Row],[_ShownFcstFinish]]+Tasks[[#This Row],[_Row]]/100000,"")</f>
        <v/>
      </c>
      <c r="GA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3" s="42" t="str">
        <f aca="false">IF(Tasks[[#This Row],[Task Name]]="","",LEFT(Tasks[[#This Row],[WBS]],FIND(".",Tasks[[#This Row],[WBS]]&amp;".")-1))</f>
        <v/>
      </c>
      <c r="GC33" s="42" t="str">
        <f aca="false">IF(AND(Tasks[[#This Row],[Task Name]]&lt;&gt;"",Tasks[[#This Row],[_Level]]=1),Tasks[[#This Row],[_Row]],"")</f>
        <v/>
      </c>
      <c r="GD33" s="42" t="str">
        <f aca="false">IF(AND(Tasks[[#This Row],[_IsLeaf]]=1,N(Tasks[[#This Row],[_Days]])=0),Tasks[[#This Row],[Planned Finish]]+Tasks[[#This Row],[_Row]]/100000,"")</f>
        <v/>
      </c>
      <c r="GE33" s="42" t="str">
        <f aca="false">IF(AND(Tasks[[#This Row],[_IsLeaf]]=1,Tasks[[#This Row],[_LeafProgress]]&lt;1,OR(N(Tasks[[#This Row],[Finish Var]])&gt;0,Tasks[[#This Row],[Status]]="Late Start")),MAX(0,Tasks[[#This Row],[Finish Var]])+1-Tasks[[#This Row],[_Row]]/1000000,"")</f>
        <v/>
      </c>
      <c r="GF33" s="42" t="str">
        <f aca="false">IF(AND(Tasks[[#This Row],[_IsLeaf]]=1,N(Tasks[[#This Row],[Actual Start]])=0,Tasks[[#This Row],[_ShownFcstStart]]&gt;=StatusDate,Tasks[[#This Row],[_ShownFcstStart]]&lt;=LookaheadEnd),Tasks[[#This Row],[_ShownFcstStart]]+Tasks[[#This Row],[_Row]]/100000,"")</f>
        <v/>
      </c>
      <c r="GG33" s="42" t="str">
        <f aca="false">IF(AND(Tasks[[#This Row],[_IsLeaf]]=1,Tasks[[#This Row],[_LeafProgress]]&lt;1,Tasks[[#This Row],[_ShownFcstFinish]]&gt;=StatusDate,Tasks[[#This Row],[_ShownFcstFinish]]&lt;=LookaheadEnd),Tasks[[#This Row],[_ShownFcstFinish]]+Tasks[[#This Row],[_Row]]/100000,"")</f>
        <v/>
      </c>
      <c r="GH33" s="42" t="str">
        <f aca="false">IF(Tasks[[#This Row],[_LeafCritical]],Tasks[[#This Row],[_ShownFcstStart]]+Tasks[[#This Row],[_Row]]/100000,"")</f>
        <v/>
      </c>
      <c r="GI33" s="42" t="n">
        <f aca="false">Tasks[[#This Row],[_LeafWork]]*Tasks[[#This Row],[_LeafProgress]]</f>
        <v>0</v>
      </c>
      <c r="GJ33" s="89" t="str">
        <f aca="false">IF(AND(Tasks[[#This Row],[_IsLeaf]]=1,Tasks[[#This Row],[_LeafProgress]]&gt;=1),IF(N(Tasks[[#This Row],[Actual Finish]])&gt;0,Tasks[[#This Row],[Actual Finish]],Tasks[[#This Row],[_ShownFcstFinish]]),"")</f>
        <v/>
      </c>
      <c r="GK33" s="42" t="n">
        <f aca="false">IF(Tasks[[#This Row],[_IsLeaf]]=1,N(Tasks[[#This Row],[Story Points]]),0)</f>
        <v>0</v>
      </c>
      <c r="GL33" s="42" t="str">
        <f aca="false">""</f>
        <v/>
      </c>
      <c r="GM33" s="88" t="b">
        <f aca="false">IF(Tasks[[#This Row],[Task Name]]="",FALSE(),AND(Tasks[[#This Row],[_IsLeaf]]=1,N(Tasks[[#This Row],[_Days]])=0))</f>
        <v>0</v>
      </c>
      <c r="GN33" s="89" t="n">
        <f aca="false">IF(Tasks[[#This Row],[Task Name]]="",0,IF(AND(Tasks[[#This Row],[_IsLeaf]]=1,NOT(Tasks[[#This Row],[_IsMilestone]]),N(Tasks[[#This Row],[Progress]])&gt;0),Tasks[[#This Row],[Start]],0))</f>
        <v>0</v>
      </c>
      <c r="GO33" s="89" t="n">
        <f aca="false">IF(Tasks[[#This Row],[_DoneFrom]]=0,0,IF(Tasks[[#This Row],[Progress]]&gt;=1,Tasks[[#This Row],[Finish]],MAX(Tasks[[#This Row],[_DoneFrom]],Tasks[[#This Row],[Start]]+ROUND((Tasks[[#This Row],[Finish]]-Tasks[[#This Row],[Start]]+1)*Tasks[[#This Row],[Progress]],0)-1)))</f>
        <v>0</v>
      </c>
      <c r="GP33" s="89" t="n">
        <f aca="false">IF(Tasks[[#This Row],[Task Name]]="",0,IF(OR(NOT(Tasks[[#This Row],[_IsLeaf]]=1),Tasks[[#This Row],[_IsMilestone]],N(Tasks[[#This Row],[Progress]])&gt;=1),0,IF(Tasks[[#This Row],[_DoneTo]]&gt;0,Tasks[[#This Row],[_DoneTo]]+1,Tasks[[#This Row],[Start]])))</f>
        <v>0</v>
      </c>
      <c r="GQ33" s="89" t="n">
        <f aca="false">IF(Tasks[[#This Row],[_RemFrom]]=0,0,Tasks[[#This Row],[Finish]])</f>
        <v>0</v>
      </c>
      <c r="GR33" s="88" t="b">
        <f aca="false">IF(Tasks[[#This Row],[Task Name]]="",FALSE(),OR(NOT(BaselineSet),N(Tasks[[#This Row],[Baseline Start]])&gt;0))</f>
        <v>0</v>
      </c>
      <c r="GS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3" s="90" t="str">
        <f aca="false">IF(Tasks[[#This Row],[_IsLeaf]]=1,Tasks[[#This Row],[_Row]],"")</f>
        <v/>
      </c>
      <c r="GW33" s="90" t="str">
        <f aca="false">IFERROR(INDEX(Tasks[UID],SMALL(Tasks[_PickKey],Tasks[[#This Row],[_Row]]))&amp;" "&amp;INDEX(Tasks[Task Name],SMALL(Tasks[_PickKey],Tasks[[#This Row],[_Row]])),"")</f>
        <v/>
      </c>
      <c r="GX33" s="42" t="str">
        <f aca="false">IF(Tasks[[#This Row],[Task Name]]="","",IF(Tasks[[#This Row],[_IsSummary]],NETWORKDAYS.INTL(Tasks[[#This Row],[Start]],Tasks[[#This Row],[Finish]],WorkWeek,Holidays),N(Tasks[[#This Row],[_Days]])))</f>
        <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3"/>
      <c r="U34" s="23"/>
      <c r="V34" s="83"/>
      <c r="W34" s="23"/>
      <c r="X34" s="83"/>
      <c r="Y34" s="23"/>
      <c r="Z34" s="83"/>
      <c r="AA34" s="23"/>
      <c r="AB34" s="23"/>
      <c r="AC34" s="7"/>
      <c r="AD34" s="7"/>
      <c r="AE34" s="62" t="str">
        <f aca="false">IF(Tasks[[#This Row],[Task Name]]="","",IF(Tasks[[#This Row],[_IsSummary]],MIN(INDEX(Tasks[_ShownFcstStart],Tasks[[#This Row],[_Row]]+1):INDEX(Tasks[_ShownFcstStart],Tasks[[#This Row],[_Row]]+Tasks[[#This Row],[_Descendants]])),Tasks[[#This Row],[_ShownFcstStart]]))</f>
        <v/>
      </c>
      <c r="AF34" s="62"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4" s="7"/>
      <c r="AK34" s="22"/>
      <c r="AL34" s="23"/>
      <c r="AM34" s="7"/>
      <c r="AN34" s="46"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2" t="str">
        <f aca="false">IF(Tasks[[#This Row],[Task Name]]="","",IF(N(Tasks[[#This Row],[Baseline Start]])&gt;0,Tasks[[#This Row],[Baseline Start]],Tasks[[#This Row],[_CalcStart]]))</f>
        <v/>
      </c>
      <c r="AR34" s="62" t="str">
        <f aca="false">IF(Tasks[[#This Row],[Task Name]]="","",IF(N(Tasks[[#This Row],[Baseline Finish]])&gt;0,Tasks[[#This Row],[Baseline Finish]],Tasks[[#This Row],[_CalcFinish]]))</f>
        <v/>
      </c>
      <c r="AS34" s="46" t="str">
        <f aca="false">IF(Tasks[[#This Row],[Task Name]]="","",IF(Tasks[[#This Row],[Start]]&gt;=Tasks[[#This Row],[Planned Start]],NETWORKDAYS.INTL(Tasks[[#This Row],[Planned Start]],Tasks[[#This Row],[Start]],WorkWeek,Holidays)-1,1-NETWORKDAYS.INTL(Tasks[[#This Row],[Start]],Tasks[[#This Row],[Planned Start]],WorkWeek,Holidays)))</f>
        <v/>
      </c>
      <c r="AT34" s="62" t="str">
        <f aca="false">IF(Tasks[[#This Row],[Task Name]]="","",IF(Tasks[[#This Row],[_IsSummary]],MIN(INDEX(Tasks[_LeafLateStart],Tasks[[#This Row],[_Row]]+1):INDEX(Tasks[_LeafLateStart],Tasks[[#This Row],[_Row]]+Tasks[[#This Row],[_Descendants]])),Tasks[[#This Row],[_LeafLateStart]]))</f>
        <v/>
      </c>
      <c r="AU34" s="62" t="str">
        <f aca="false">IF(Tasks[[#This Row],[Task Name]]="","",IF(Tasks[[#This Row],[_IsSummary]],MAX(INDEX(Tasks[_LeafLateFinish],Tasks[[#This Row],[_Row]]+1):INDEX(Tasks[_LeafLateFinish],Tasks[[#This Row],[_Row]]+Tasks[[#This Row],[_Descendants]])),Tasks[[#This Row],[_LeafLateFinish]]))</f>
        <v/>
      </c>
      <c r="AV34" s="46"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4"/>
      <c r="BA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5"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6"/>
      <c r="BJ34" s="22"/>
      <c r="BK34" s="46" t="str">
        <f aca="false">IF(OR(Tasks[[#This Row],[Task Name]]="",Tasks[[#This Row],[Baseline Duration]]=""),"",Tasks[[#This Row],[_SpanDays]]-N(Tasks[[#This Row],[Baseline Duration]]))</f>
        <v/>
      </c>
      <c r="BL34" s="85" t="str">
        <f aca="false">IF(OR(Tasks[[#This Row],[Task Name]]="",Tasks[[#This Row],[Baseline Work]]=""),"",Tasks[[#This Row],[Work]]-N(Tasks[[#This Row],[Baseline Work]]))</f>
        <v/>
      </c>
      <c r="BM34" s="62" t="str">
        <f aca="false">IF(Tasks[[#This Row],[Task Name]]="","",IF(OR(TakeBaseline="Yes",N(Tasks[[#This Row],[Baseline Start]])=0),Tasks[[#This Row],[Start]],Tasks[[#This Row],[Baseline Start]]))</f>
        <v/>
      </c>
      <c r="BN34" s="62"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5" t="str">
        <f aca="false">IF(Tasks[[#This Row],[Task Name]]="","",IF(OR(TakeBaseline="Yes",N(Tasks[[#This Row],[Baseline Work]])=0),Tasks[[#This Row],[Work]],Tasks[[#This Row],[Baseline Work]]))</f>
        <v/>
      </c>
      <c r="BQ34" s="7"/>
      <c r="BR34" s="7"/>
      <c r="BS34" s="22"/>
      <c r="BT34" s="87"/>
      <c r="BU34" s="42" t="str">
        <f aca="false">IF(Tasks[[#This Row],[Task Name]]="","",MAX(1,N(Tasks[[#This Row],[Level]])))</f>
        <v/>
      </c>
      <c r="BV34" s="42" t="n">
        <f aca="false">ROW()-ROW(Tasks[[#Headers],[ID]])</f>
        <v>29</v>
      </c>
      <c r="BW34" s="42" t="n">
        <f aca="false">IF(OR(Tasks[[#This Row],[Task Name]]="",Tasks[[#This Row],[_Level]]&lt;=1),0,IFERROR(LOOKUP(2,1/(Tasks[[#Headers],[_Level]]:Tasks[[#This Row],[_Level]]=Tasks[[#This Row],[_Level]]-1),ROW(Tasks[[#Headers],[_Level]]:Tasks[[#This Row],[_Level]])),0))</f>
        <v>0</v>
      </c>
      <c r="BX34" s="42" t="n">
        <f aca="false">IFERROR(N(INDEX(Tasks[_Level],Tasks[[#This Row],[_Row]]+1)),0)</f>
        <v>0</v>
      </c>
      <c r="BY34" s="88" t="b">
        <f aca="false">AND(Tasks[[#This Row],[Task Name]]&lt;&gt;"",Tasks[[#This Row],[_NextLevel]]&gt;Tasks[[#This Row],[_Level]])</f>
        <v>0</v>
      </c>
      <c r="BZ34" s="42" t="n">
        <f aca="false">IF(Tasks[[#This Row],[_IsSummary]],COUNTIF(Tasks[WBS],Tasks[[#This Row],[WBS]]&amp;".*"),0)</f>
        <v>0</v>
      </c>
      <c r="CA34" s="42" t="n">
        <f aca="false">IF(AND(Tasks[[#This Row],[Task Name]]&lt;&gt;"",NOT(Tasks[[#This Row],[_IsSummary]])),1,0)</f>
        <v>0</v>
      </c>
      <c r="CB34" s="42" t="n">
        <f aca="false">IF(N(Tasks[[#This Row],[_Pred1UID]])=0,0,IFERROR(MATCH(Tasks[[#This Row],[_Pred1UID]],Tasks[UID],0),-1))</f>
        <v>0</v>
      </c>
      <c r="CC34" s="42" t="n">
        <f aca="false">IF(N(Tasks[[#This Row],[_Pred2UID]])=0,0,IFERROR(MATCH(Tasks[[#This Row],[_Pred2UID]],Tasks[UID],0),-1))</f>
        <v>0</v>
      </c>
      <c r="CD34" s="42" t="n">
        <f aca="false">IF(N(Tasks[[#This Row],[_Pred3UID]])=0,0,IFERROR(MATCH(Tasks[[#This Row],[_Pred3UID]],Tasks[UID],0),-1))</f>
        <v>0</v>
      </c>
      <c r="CE34" s="42" t="n">
        <f aca="false">IF(N(Tasks[[#This Row],[_Pred4UID]])=0,0,IFERROR(MATCH(Tasks[[#This Row],[_Pred4UID]],Tasks[UID],0),-1))</f>
        <v>0</v>
      </c>
      <c r="CF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4" s="89" t="n">
        <f aca="false">IF(OR(Tasks[[#This Row],[_ConstraintCode]]=2,Tasks[[#This Row],[_ConstraintCode]]=3,Tasks[[#This Row],[_ConstraintCode]]=4,Tasks[[#This Row],[_ConstraintCode]]=6),Tasks[[#This Row],[_ConstraintStart]],0)</f>
        <v>0</v>
      </c>
      <c r="CI34" s="89" t="n">
        <f aca="false">IF(OR(Tasks[[#This Row],[_ConstraintCode]]=2,Tasks[[#This Row],[_ConstraintCode]]=3,Tasks[[#This Row],[_ConstraintCode]]=5,Tasks[[#This Row],[_ConstraintCode]]=7),Tasks[[#This Row],[_ConstraintStart]],2958465)</f>
        <v>2958465</v>
      </c>
      <c r="CJ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4" s="89" t="str">
        <f aca="false">IF(NOT(Tasks[[#This Row],[_IsLeaf]]=1),"",IF(N(Tasks[[#This Row],[_Days]])&lt;=0,Tasks[[#This Row],[_LeafCalcStart]],WORKDAY.INTL(Tasks[[#This Row],[_LeafCalcStart]],Tasks[[#This Row],[_Days]]-1,WorkWeek,Holidays)))</f>
        <v/>
      </c>
      <c r="CL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4" s="42" t="str">
        <f aca="false">IF(Tasks[[#This Row],[_Predecessors]]="","",TRIM(MID(SUBSTITUTE(SUBSTITUTE(SUBSTITUTE(UPPER(Tasks[[#This Row],[_Predecessors]]),";",",")," ",""),",",REPT(" ",99)),1,99)))</f>
        <v/>
      </c>
      <c r="CO34" s="42" t="str">
        <f aca="false">IF(Tasks[[#This Row],[_Pred1Text]]="","",IFERROR(VALUE(LEFT(Tasks[[#This Row],[_Pred1Text]],MIN(FIND("F",Tasks[[#This Row],[_Pred1Text]]&amp;"F"),FIND("S",Tasks[[#This Row],[_Pred1Text]]&amp;"S"),FIND("+",Tasks[[#This Row],[_Pred1Text]]&amp;"+"),FIND("-",Tasks[[#This Row],[_Pred1Text]]&amp;"-"))-1)),""))</f>
        <v/>
      </c>
      <c r="CP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4" s="42" t="str">
        <f aca="false">IF(Tasks[[#This Row],[_Pred1Text]]="","",TRIM(MID(SUBSTITUTE(SUBSTITUTE(SUBSTITUTE(UPPER(Tasks[[#This Row],[_Predecessors]]),";",",")," ",""),",",REPT(" ",99)),100,99)))</f>
        <v/>
      </c>
      <c r="CS34" s="42" t="str">
        <f aca="false">IF(Tasks[[#This Row],[_Pred2Text]]="","",IFERROR(VALUE(LEFT(Tasks[[#This Row],[_Pred2Text]],MIN(FIND("F",Tasks[[#This Row],[_Pred2Text]]&amp;"F"),FIND("S",Tasks[[#This Row],[_Pred2Text]]&amp;"S"),FIND("+",Tasks[[#This Row],[_Pred2Text]]&amp;"+"),FIND("-",Tasks[[#This Row],[_Pred2Text]]&amp;"-"))-1)),""))</f>
        <v/>
      </c>
      <c r="CT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4" s="42" t="str">
        <f aca="false">IF(Tasks[[#This Row],[_Pred2Text]]="","",TRIM(MID(SUBSTITUTE(SUBSTITUTE(SUBSTITUTE(UPPER(Tasks[[#This Row],[_Predecessors]]),";",",")," ",""),",",REPT(" ",99)),199,99)))</f>
        <v/>
      </c>
      <c r="CW34" s="42" t="str">
        <f aca="false">IF(Tasks[[#This Row],[_Pred3Text]]="","",IFERROR(VALUE(LEFT(Tasks[[#This Row],[_Pred3Text]],MIN(FIND("F",Tasks[[#This Row],[_Pred3Text]]&amp;"F"),FIND("S",Tasks[[#This Row],[_Pred3Text]]&amp;"S"),FIND("+",Tasks[[#This Row],[_Pred3Text]]&amp;"+"),FIND("-",Tasks[[#This Row],[_Pred3Text]]&amp;"-"))-1)),""))</f>
        <v/>
      </c>
      <c r="CX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4" s="42" t="str">
        <f aca="false">IF(Tasks[[#This Row],[_Pred3Text]]="","",TRIM(MID(SUBSTITUTE(SUBSTITUTE(SUBSTITUTE(UPPER(Tasks[[#This Row],[_Predecessors]]),";",",")," ",""),",",REPT(" ",99)),298,99)))</f>
        <v/>
      </c>
      <c r="DA34" s="42" t="str">
        <f aca="false">IF(Tasks[[#This Row],[_Pred4Text]]="","",IFERROR(VALUE(LEFT(Tasks[[#This Row],[_Pred4Text]],MIN(FIND("F",Tasks[[#This Row],[_Pred4Text]]&amp;"F"),FIND("S",Tasks[[#This Row],[_Pred4Text]]&amp;"S"),FIND("+",Tasks[[#This Row],[_Pred4Text]]&amp;"+"),FIND("-",Tasks[[#This Row],[_Pred4Text]]&amp;"-"))-1)),""))</f>
        <v/>
      </c>
      <c r="DB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4" s="42" t="str">
        <f aca="false">IF(OR(Tasks[[#This Row],[Task Name]]="",Tasks[[#This Row],[_Resources]]=""),"",TRIM(MID(SUBSTITUTE(Tasks[[#This Row],[_Resources]],",",REPT(" ",99)),1,99)))</f>
        <v/>
      </c>
      <c r="DE34" s="42" t="str">
        <f aca="false">IF(Tasks[[#This Row],[_Res1Text]]="","",TRIM(MID(SUBSTITUTE(Tasks[[#This Row],[_Resources]],",",REPT(" ",99)),100,99)))</f>
        <v/>
      </c>
      <c r="DF34" s="42" t="str">
        <f aca="false">IF(Tasks[[#This Row],[_Res2Text]]="","",TRIM(MID(SUBSTITUTE(Tasks[[#This Row],[_Resources]],",",REPT(" ",99)),199,99)))</f>
        <v/>
      </c>
      <c r="DG34" s="42" t="str">
        <f aca="false">IF(Tasks[[#This Row],[_Res3Text]]="","",TRIM(MID(SUBSTITUTE(Tasks[[#This Row],[_Resources]],",",REPT(" ",99)),298,99)))</f>
        <v/>
      </c>
      <c r="DH34" s="42" t="n">
        <f aca="false">IF(Tasks[[#This Row],[_Res1Text]]="",0,IFERROR(MATCH(TRIM(LEFT(Tasks[[#This Row],[_Res1Text]],FIND("[",Tasks[[#This Row],[_Res1Text]]&amp;"[")-1)),res_Name,0),IFERROR(MATCH(TRIM(LEFT(Tasks[[#This Row],[_Res1Text]],FIND("[",Tasks[[#This Row],[_Res1Text]]&amp;"[")-1)),res_Initials,0),0)))</f>
        <v>0</v>
      </c>
      <c r="DI34" s="42" t="n">
        <f aca="false">IF(Tasks[[#This Row],[_Res2Text]]="",0,IFERROR(MATCH(TRIM(LEFT(Tasks[[#This Row],[_Res2Text]],FIND("[",Tasks[[#This Row],[_Res2Text]]&amp;"[")-1)),res_Name,0),IFERROR(MATCH(TRIM(LEFT(Tasks[[#This Row],[_Res2Text]],FIND("[",Tasks[[#This Row],[_Res2Text]]&amp;"[")-1)),res_Initials,0),0)))</f>
        <v>0</v>
      </c>
      <c r="DJ34" s="42" t="n">
        <f aca="false">IF(Tasks[[#This Row],[_Res3Text]]="",0,IFERROR(MATCH(TRIM(LEFT(Tasks[[#This Row],[_Res3Text]],FIND("[",Tasks[[#This Row],[_Res3Text]]&amp;"[")-1)),res_Name,0),IFERROR(MATCH(TRIM(LEFT(Tasks[[#This Row],[_Res3Text]],FIND("[",Tasks[[#This Row],[_Res3Text]]&amp;"[")-1)),res_Initials,0),0)))</f>
        <v>0</v>
      </c>
      <c r="DK34" s="42" t="n">
        <f aca="false">IF(Tasks[[#This Row],[_Res4Text]]="",0,IFERROR(MATCH(TRIM(LEFT(Tasks[[#This Row],[_Res4Text]],FIND("[",Tasks[[#This Row],[_Res4Text]]&amp;"[")-1)),res_Name,0),IFERROR(MATCH(TRIM(LEFT(Tasks[[#This Row],[_Res4Text]],FIND("[",Tasks[[#This Row],[_Res4Text]]&amp;"[")-1)),res_Initials,0),0)))</f>
        <v>0</v>
      </c>
      <c r="DL34" s="42" t="str">
        <f aca="false">IF(Tasks[[#This Row],[_Res1Text]]="","",IF(Tasks[[#This Row],[_Res1Row]]&gt;0,INDEX(res_Name,Tasks[[#This Row],[_Res1Row]]),TRIM(LEFT(Tasks[[#This Row],[_Res1Text]],FIND("[",Tasks[[#This Row],[_Res1Text]]&amp;"[")-1))))</f>
        <v/>
      </c>
      <c r="DM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4" s="42" t="n">
        <f aca="false">IF(NOT(Tasks[[#This Row],[_IsLeaf]]=1),0,(Tasks[[#This Row],[_Resource1]]&lt;&gt;"")+(Tasks[[#This Row],[_Res2]]&lt;&gt;"")+(Tasks[[#This Row],[_Res3]]&lt;&gt;"")+(Tasks[[#This Row],[_Res4]]&lt;&gt;""))</f>
        <v>0</v>
      </c>
      <c r="DO34" s="42" t="str">
        <f aca="false">IF(Tasks[[#This Row],[_Res2Text]]="","",IF(Tasks[[#This Row],[_Res2Row]]&gt;0,INDEX(res_Name,Tasks[[#This Row],[_Res2Row]]),TRIM(LEFT(Tasks[[#This Row],[_Res2Text]],FIND("[",Tasks[[#This Row],[_Res2Text]]&amp;"[")-1))))</f>
        <v/>
      </c>
      <c r="DP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4" s="42" t="n">
        <f aca="false">IF(OR(NOT(Tasks[[#This Row],[_IsLeaf]]=1),Tasks[[#This Row],[_Res2Row]]=0),0,N(Tasks[[#This Row],[_Days]])*HoursPerDay*IF(Tasks[[#This Row],[_Res2Units]]="",DefaultUnits,Tasks[[#This Row],[_Res2Units]]))</f>
        <v>0</v>
      </c>
      <c r="DR34" s="42" t="n">
        <f aca="false">IF(AND(AND(Tasks[[#This Row],[_IsLeaf]]=1,Tasks[[#This Row],[_LeafTotalWork]]&gt;0),Tasks[[#This Row],[_Res2Work]]&gt;0),Tasks[[#This Row],[_Res2Work]]/(Tasks[[#This Row],[_FinishWorkday]]-Tasks[[#This Row],[_StartWorkday]]+1),0)</f>
        <v>0</v>
      </c>
      <c r="DS34" s="42" t="n">
        <f aca="false">Tasks[[#This Row],[_Res2WorkPerWD]]*MAX(0,Tasks[[#This Row],[_StartWorkday]]-1)</f>
        <v>0</v>
      </c>
      <c r="DT34" s="42" t="n">
        <f aca="false">Tasks[[#This Row],[_Res2Work]]*Tasks[[#This Row],[_LeafProgress]]</f>
        <v>0</v>
      </c>
      <c r="DU34" s="42" t="str">
        <f aca="false">IF(Tasks[[#This Row],[_Res3Text]]="","",IF(Tasks[[#This Row],[_Res3Row]]&gt;0,INDEX(res_Name,Tasks[[#This Row],[_Res3Row]]),TRIM(LEFT(Tasks[[#This Row],[_Res3Text]],FIND("[",Tasks[[#This Row],[_Res3Text]]&amp;"[")-1))))</f>
        <v/>
      </c>
      <c r="DV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4" s="42" t="n">
        <f aca="false">IF(OR(NOT(Tasks[[#This Row],[_IsLeaf]]=1),Tasks[[#This Row],[_Res3Row]]=0),0,N(Tasks[[#This Row],[_Days]])*HoursPerDay*IF(Tasks[[#This Row],[_Res3Units]]="",DefaultUnits,Tasks[[#This Row],[_Res3Units]]))</f>
        <v>0</v>
      </c>
      <c r="DX34" s="42" t="n">
        <f aca="false">IF(AND(AND(Tasks[[#This Row],[_IsLeaf]]=1,Tasks[[#This Row],[_LeafTotalWork]]&gt;0),Tasks[[#This Row],[_Res3Work]]&gt;0),Tasks[[#This Row],[_Res3Work]]/(Tasks[[#This Row],[_FinishWorkday]]-Tasks[[#This Row],[_StartWorkday]]+1),0)</f>
        <v>0</v>
      </c>
      <c r="DY34" s="42" t="n">
        <f aca="false">Tasks[[#This Row],[_Res3WorkPerWD]]*MAX(0,Tasks[[#This Row],[_StartWorkday]]-1)</f>
        <v>0</v>
      </c>
      <c r="DZ34" s="42" t="n">
        <f aca="false">Tasks[[#This Row],[_Res3Work]]*Tasks[[#This Row],[_LeafProgress]]</f>
        <v>0</v>
      </c>
      <c r="EA34" s="42" t="str">
        <f aca="false">IF(Tasks[[#This Row],[_Res4Text]]="","",IF(Tasks[[#This Row],[_Res4Row]]&gt;0,INDEX(res_Name,Tasks[[#This Row],[_Res4Row]]),TRIM(LEFT(Tasks[[#This Row],[_Res4Text]],FIND("[",Tasks[[#This Row],[_Res4Text]]&amp;"[")-1))))</f>
        <v/>
      </c>
      <c r="EB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4" s="42" t="n">
        <f aca="false">IF(OR(NOT(Tasks[[#This Row],[_IsLeaf]]=1),Tasks[[#This Row],[_Res4Row]]=0),0,N(Tasks[[#This Row],[_Days]])*HoursPerDay*IF(Tasks[[#This Row],[_Res4Units]]="",DefaultUnits,Tasks[[#This Row],[_Res4Units]]))</f>
        <v>0</v>
      </c>
      <c r="ED34" s="42" t="n">
        <f aca="false">IF(AND(AND(Tasks[[#This Row],[_IsLeaf]]=1,Tasks[[#This Row],[_LeafTotalWork]]&gt;0),Tasks[[#This Row],[_Res4Work]]&gt;0),Tasks[[#This Row],[_Res4Work]]/(Tasks[[#This Row],[_FinishWorkday]]-Tasks[[#This Row],[_StartWorkday]]+1),0)</f>
        <v>0</v>
      </c>
      <c r="EE34" s="42" t="n">
        <f aca="false">Tasks[[#This Row],[_Res4WorkPerWD]]*MAX(0,Tasks[[#This Row],[_StartWorkday]]-1)</f>
        <v>0</v>
      </c>
      <c r="EF34" s="42" t="n">
        <f aca="false">Tasks[[#This Row],[_Res4Work]]*Tasks[[#This Row],[_LeafProgress]]</f>
        <v>0</v>
      </c>
      <c r="EG34" s="42" t="n">
        <f aca="false">IF(ISNUMBER(Tasks[[#This Row],[% Complete]]),Tasks[[#This Row],[% Complete]],IF(Tasks[[#This Row],[Stage]]="",0,IFERROR(INDEX(stg_Pct,MATCH(Tasks[[#This Row],[Stage]],stg_Name,0)),0)))</f>
        <v>0</v>
      </c>
      <c r="EH34" s="42" t="n">
        <f aca="false">IF(NOT(Tasks[[#This Row],[_IsLeaf]]=1),0,IF(N(Tasks[[#This Row],[Actual Finish]])&gt;0,1,MIN(1,Tasks[[#This Row],[_Pct]])))</f>
        <v>0</v>
      </c>
      <c r="EI34" s="42" t="n">
        <f aca="false">IF(OR(NOT(Tasks[[#This Row],[_IsLeaf]]=1),Tasks[[#This Row],[_Res1Row]]=0),0,N(Tasks[[#This Row],[_Days]])*HoursPerDay*IF(Tasks[[#This Row],[_Units1]]="",DefaultUnits,Tasks[[#This Row],[_Units1]]))</f>
        <v>0</v>
      </c>
      <c r="EJ34" s="42" t="n">
        <f aca="false">Tasks[[#This Row],[_LeafWork]]+Tasks[[#This Row],[_Res2Work]]+Tasks[[#This Row],[_Res3Work]]+Tasks[[#This Row],[_Res4Work]]</f>
        <v>0</v>
      </c>
      <c r="EK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4" s="42" t="n">
        <f aca="false">IF(NOT(Tasks[[#This Row],[_IsLeaf]]=1),0,MAX(_xlfn.MAXIFS(Tasks[_Row],Tasks[_Pred1UID],Tasks[[#This Row],[UID]]),_xlfn.MAXIFS(Tasks[_Row],Tasks[_Pred2UID],Tasks[[#This Row],[UID]]),_xlfn.MAXIFS(Tasks[_Row],Tasks[_Pred3UID],Tasks[[#This Row],[UID]]),_xlfn.MAXIFS(Tasks[_Row],Tasks[_Pred4UID],Tasks[[#This Row],[UID]])))</f>
        <v>0</v>
      </c>
      <c r="ET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4" s="89" t="str">
        <f aca="false">IF(NOT(Tasks[[#This Row],[_IsLeaf]]=1),"",IF(N(Tasks[[#This Row],[_Days]])&lt;=0,Tasks[[#This Row],[_LeafLateFinish]],WORKDAY.INTL(Tasks[[#This Row],[_LeafLateFinish]],-(Tasks[[#This Row],[_Days]]-1),WorkWeek,Holidays)))</f>
        <v/>
      </c>
      <c r="EW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4" s="88" t="b">
        <f aca="false">AND(Tasks[[#This Row],[_IsLeaf]]=1,Tasks[[#This Row],[_LeafProgress]]&lt;1,N(Tasks[[#This Row],[_LeafTotalSlack]])&lt;=CriticalSlackDays)</f>
        <v>0</v>
      </c>
      <c r="EY34" s="42" t="n">
        <f aca="false">IF(AND(Tasks[[#This Row],[_IsLeaf]]=1,Tasks[[#This Row],[_ConstraintCode]]=1,Tasks[[#This Row],[Mode]]&lt;&gt;"Manual",N(Tasks[[#This Row],[Actual Start]])=0),MAX(0,N(Tasks[[#This Row],[Free Slack]])),0)</f>
        <v>0</v>
      </c>
      <c r="EZ34" s="89" t="str">
        <f aca="false">IF(NOT(Tasks[[#This Row],[_IsLeaf]]=1),"",IF(Tasks[[#This Row],[_AlapShift]]=0,Tasks[[#This Row],[_LeafCalcStart]],WORKDAY.INTL(Tasks[[#This Row],[_LeafCalcStart]],Tasks[[#This Row],[_AlapShift]],WorkWeek,Holidays)))</f>
        <v/>
      </c>
      <c r="FA34" s="89" t="str">
        <f aca="false">IF(NOT(Tasks[[#This Row],[_IsLeaf]]=1),"",IF(Tasks[[#This Row],[_AlapShift]]=0,Tasks[[#This Row],[_LeafCalcFinish]],WORKDAY.INTL(Tasks[[#This Row],[_LeafCalcFinish]],Tasks[[#This Row],[_AlapShift]],WorkWeek,Holidays)))</f>
        <v/>
      </c>
      <c r="FB34" s="89" t="str">
        <f aca="false">IF(NOT(Tasks[[#This Row],[_IsLeaf]]=1),"",IF(Tasks[[#This Row],[_AlapShift]]=0,Tasks[[#This Row],[_LeafFcstStart]],WORKDAY.INTL(Tasks[[#This Row],[_LeafFcstStart]],Tasks[[#This Row],[_AlapShift]],WorkWeek,Holidays)))</f>
        <v/>
      </c>
      <c r="FC34" s="89" t="str">
        <f aca="false">IF(NOT(Tasks[[#This Row],[_IsLeaf]]=1),"",IF(Tasks[[#This Row],[_AlapShift]]=0,Tasks[[#This Row],[_LeafFcstFinish]],WORKDAY.INTL(Tasks[[#This Row],[_LeafFcstFinish]],Tasks[[#This Row],[_AlapShift]],WorkWeek,Holidays)))</f>
        <v/>
      </c>
      <c r="FD34" s="89" t="str">
        <f aca="false">IF(Tasks[[#This Row],[Task Name]]="","",IF(Tasks[[#This Row],[_IsSummary]],MIN(INDEX(Tasks[_ShownCalcStart],Tasks[[#This Row],[_Row]]+1):INDEX(Tasks[_ShownCalcStart],Tasks[[#This Row],[_Row]]+Tasks[[#This Row],[_Descendants]])),Tasks[[#This Row],[_ShownCalcStart]]))</f>
        <v/>
      </c>
      <c r="FE34" s="89" t="str">
        <f aca="false">IF(Tasks[[#This Row],[Task Name]]="","",IF(Tasks[[#This Row],[_IsSummary]],MAX(INDEX(Tasks[_ShownCalcFinish],Tasks[[#This Row],[_Row]]+1):INDEX(Tasks[_ShownCalcFinish],Tasks[[#This Row],[_Row]]+Tasks[[#This Row],[_Descendants]])),Tasks[[#This Row],[_ShownCalcFinish]]))</f>
        <v/>
      </c>
      <c r="FF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4" s="42" t="n">
        <f aca="false">IF(AND(Tasks[[#This Row],[_IsLeaf]]=1,Tasks[[#This Row],[_LeafTotalWork]]&gt;0),NETWORKDAYS.INTL(ProjectStart,Tasks[[#This Row],[_ShownFcstStart]],WorkWeek,Holidays),0)</f>
        <v>0</v>
      </c>
      <c r="FS34" s="42" t="n">
        <f aca="false">IF(AND(Tasks[[#This Row],[_IsLeaf]]=1,Tasks[[#This Row],[_LeafTotalWork]]&gt;0),MAX(Tasks[[#This Row],[_StartWorkday]],NETWORKDAYS.INTL(ProjectStart,Tasks[[#This Row],[_ShownFcstFinish]],WorkWeek,Holidays)),0)</f>
        <v>0</v>
      </c>
      <c r="FT34" s="42" t="n">
        <f aca="false">IF(AND(Tasks[[#This Row],[_IsLeaf]]=1,Tasks[[#This Row],[_LeafTotalWork]]&gt;0),Tasks[[#This Row],[_LeafWork]]/(Tasks[[#This Row],[_FinishWorkday]]-Tasks[[#This Row],[_StartWorkday]]+1),0)</f>
        <v>0</v>
      </c>
      <c r="FU34" s="42" t="n">
        <f aca="false">Tasks[[#This Row],[_WorkPerWorkday]]*(Tasks[[#This Row],[_StartWorkday]]-1)</f>
        <v>-0</v>
      </c>
      <c r="FV34" s="42" t="n">
        <f aca="false">IF(Tasks[[#This Row],[_IsLeaf]]=1,MAX(N(Tasks[[#This Row],[_Days]]),0.1),0)</f>
        <v>0</v>
      </c>
      <c r="FW34" s="42" t="n">
        <f aca="false">Tasks[[#This Row],[_WeightDur]]*Tasks[[#This Row],[_LeafProgress]]</f>
        <v>0</v>
      </c>
      <c r="FX34" s="42" t="n">
        <f aca="false">Tasks[[#This Row],[_WeightDur]]*Tasks[[#This Row],[_PlannedPct]]</f>
        <v>0</v>
      </c>
      <c r="FY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4" s="42" t="str">
        <f aca="false">IF(AND(Tasks[[#This Row],[_IsLeaf]]=1,N(Tasks[[#This Row],[_Days]])=0,Tasks[[#This Row],[_LeafProgress]]&lt;1),Tasks[[#This Row],[_ShownFcstFinish]]+Tasks[[#This Row],[_Row]]/100000,"")</f>
        <v/>
      </c>
      <c r="GA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4" s="42" t="str">
        <f aca="false">IF(Tasks[[#This Row],[Task Name]]="","",LEFT(Tasks[[#This Row],[WBS]],FIND(".",Tasks[[#This Row],[WBS]]&amp;".")-1))</f>
        <v/>
      </c>
      <c r="GC34" s="42" t="str">
        <f aca="false">IF(AND(Tasks[[#This Row],[Task Name]]&lt;&gt;"",Tasks[[#This Row],[_Level]]=1),Tasks[[#This Row],[_Row]],"")</f>
        <v/>
      </c>
      <c r="GD34" s="42" t="str">
        <f aca="false">IF(AND(Tasks[[#This Row],[_IsLeaf]]=1,N(Tasks[[#This Row],[_Days]])=0),Tasks[[#This Row],[Planned Finish]]+Tasks[[#This Row],[_Row]]/100000,"")</f>
        <v/>
      </c>
      <c r="GE34" s="42" t="str">
        <f aca="false">IF(AND(Tasks[[#This Row],[_IsLeaf]]=1,Tasks[[#This Row],[_LeafProgress]]&lt;1,OR(N(Tasks[[#This Row],[Finish Var]])&gt;0,Tasks[[#This Row],[Status]]="Late Start")),MAX(0,Tasks[[#This Row],[Finish Var]])+1-Tasks[[#This Row],[_Row]]/1000000,"")</f>
        <v/>
      </c>
      <c r="GF34" s="42" t="str">
        <f aca="false">IF(AND(Tasks[[#This Row],[_IsLeaf]]=1,N(Tasks[[#This Row],[Actual Start]])=0,Tasks[[#This Row],[_ShownFcstStart]]&gt;=StatusDate,Tasks[[#This Row],[_ShownFcstStart]]&lt;=LookaheadEnd),Tasks[[#This Row],[_ShownFcstStart]]+Tasks[[#This Row],[_Row]]/100000,"")</f>
        <v/>
      </c>
      <c r="GG34" s="42" t="str">
        <f aca="false">IF(AND(Tasks[[#This Row],[_IsLeaf]]=1,Tasks[[#This Row],[_LeafProgress]]&lt;1,Tasks[[#This Row],[_ShownFcstFinish]]&gt;=StatusDate,Tasks[[#This Row],[_ShownFcstFinish]]&lt;=LookaheadEnd),Tasks[[#This Row],[_ShownFcstFinish]]+Tasks[[#This Row],[_Row]]/100000,"")</f>
        <v/>
      </c>
      <c r="GH34" s="42" t="str">
        <f aca="false">IF(Tasks[[#This Row],[_LeafCritical]],Tasks[[#This Row],[_ShownFcstStart]]+Tasks[[#This Row],[_Row]]/100000,"")</f>
        <v/>
      </c>
      <c r="GI34" s="42" t="n">
        <f aca="false">Tasks[[#This Row],[_LeafWork]]*Tasks[[#This Row],[_LeafProgress]]</f>
        <v>0</v>
      </c>
      <c r="GJ34" s="89" t="str">
        <f aca="false">IF(AND(Tasks[[#This Row],[_IsLeaf]]=1,Tasks[[#This Row],[_LeafProgress]]&gt;=1),IF(N(Tasks[[#This Row],[Actual Finish]])&gt;0,Tasks[[#This Row],[Actual Finish]],Tasks[[#This Row],[_ShownFcstFinish]]),"")</f>
        <v/>
      </c>
      <c r="GK34" s="42" t="n">
        <f aca="false">IF(Tasks[[#This Row],[_IsLeaf]]=1,N(Tasks[[#This Row],[Story Points]]),0)</f>
        <v>0</v>
      </c>
      <c r="GL34" s="42" t="str">
        <f aca="false">""</f>
        <v/>
      </c>
      <c r="GM34" s="88" t="b">
        <f aca="false">IF(Tasks[[#This Row],[Task Name]]="",FALSE(),AND(Tasks[[#This Row],[_IsLeaf]]=1,N(Tasks[[#This Row],[_Days]])=0))</f>
        <v>0</v>
      </c>
      <c r="GN34" s="89" t="n">
        <f aca="false">IF(Tasks[[#This Row],[Task Name]]="",0,IF(AND(Tasks[[#This Row],[_IsLeaf]]=1,NOT(Tasks[[#This Row],[_IsMilestone]]),N(Tasks[[#This Row],[Progress]])&gt;0),Tasks[[#This Row],[Start]],0))</f>
        <v>0</v>
      </c>
      <c r="GO34" s="89" t="n">
        <f aca="false">IF(Tasks[[#This Row],[_DoneFrom]]=0,0,IF(Tasks[[#This Row],[Progress]]&gt;=1,Tasks[[#This Row],[Finish]],MAX(Tasks[[#This Row],[_DoneFrom]],Tasks[[#This Row],[Start]]+ROUND((Tasks[[#This Row],[Finish]]-Tasks[[#This Row],[Start]]+1)*Tasks[[#This Row],[Progress]],0)-1)))</f>
        <v>0</v>
      </c>
      <c r="GP34" s="89" t="n">
        <f aca="false">IF(Tasks[[#This Row],[Task Name]]="",0,IF(OR(NOT(Tasks[[#This Row],[_IsLeaf]]=1),Tasks[[#This Row],[_IsMilestone]],N(Tasks[[#This Row],[Progress]])&gt;=1),0,IF(Tasks[[#This Row],[_DoneTo]]&gt;0,Tasks[[#This Row],[_DoneTo]]+1,Tasks[[#This Row],[Start]])))</f>
        <v>0</v>
      </c>
      <c r="GQ34" s="89" t="n">
        <f aca="false">IF(Tasks[[#This Row],[_RemFrom]]=0,0,Tasks[[#This Row],[Finish]])</f>
        <v>0</v>
      </c>
      <c r="GR34" s="88" t="b">
        <f aca="false">IF(Tasks[[#This Row],[Task Name]]="",FALSE(),OR(NOT(BaselineSet),N(Tasks[[#This Row],[Baseline Start]])&gt;0))</f>
        <v>0</v>
      </c>
      <c r="GS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4" s="90" t="str">
        <f aca="false">IF(Tasks[[#This Row],[_IsLeaf]]=1,Tasks[[#This Row],[_Row]],"")</f>
        <v/>
      </c>
      <c r="GW34" s="90" t="str">
        <f aca="false">IFERROR(INDEX(Tasks[UID],SMALL(Tasks[_PickKey],Tasks[[#This Row],[_Row]]))&amp;" "&amp;INDEX(Tasks[Task Name],SMALL(Tasks[_PickKey],Tasks[[#This Row],[_Row]])),"")</f>
        <v/>
      </c>
      <c r="GX34" s="42" t="str">
        <f aca="false">IF(Tasks[[#This Row],[Task Name]]="","",IF(Tasks[[#This Row],[_IsSummary]],NETWORKDAYS.INTL(Tasks[[#This Row],[Start]],Tasks[[#This Row],[Finish]],WorkWeek,Holidays),N(Tasks[[#This Row],[_Days]])))</f>
        <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3"/>
      <c r="U35" s="23"/>
      <c r="V35" s="83"/>
      <c r="W35" s="23"/>
      <c r="X35" s="83"/>
      <c r="Y35" s="23"/>
      <c r="Z35" s="83"/>
      <c r="AA35" s="23"/>
      <c r="AB35" s="23"/>
      <c r="AC35" s="7"/>
      <c r="AD35" s="7"/>
      <c r="AE35" s="62" t="str">
        <f aca="false">IF(Tasks[[#This Row],[Task Name]]="","",IF(Tasks[[#This Row],[_IsSummary]],MIN(INDEX(Tasks[_ShownFcstStart],Tasks[[#This Row],[_Row]]+1):INDEX(Tasks[_ShownFcstStart],Tasks[[#This Row],[_Row]]+Tasks[[#This Row],[_Descendants]])),Tasks[[#This Row],[_ShownFcstStart]]))</f>
        <v/>
      </c>
      <c r="AF35" s="62"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5" s="7"/>
      <c r="AK35" s="22"/>
      <c r="AL35" s="23"/>
      <c r="AM35" s="7"/>
      <c r="AN35" s="46"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2" t="str">
        <f aca="false">IF(Tasks[[#This Row],[Task Name]]="","",IF(N(Tasks[[#This Row],[Baseline Start]])&gt;0,Tasks[[#This Row],[Baseline Start]],Tasks[[#This Row],[_CalcStart]]))</f>
        <v/>
      </c>
      <c r="AR35" s="62" t="str">
        <f aca="false">IF(Tasks[[#This Row],[Task Name]]="","",IF(N(Tasks[[#This Row],[Baseline Finish]])&gt;0,Tasks[[#This Row],[Baseline Finish]],Tasks[[#This Row],[_CalcFinish]]))</f>
        <v/>
      </c>
      <c r="AS35" s="46" t="str">
        <f aca="false">IF(Tasks[[#This Row],[Task Name]]="","",IF(Tasks[[#This Row],[Start]]&gt;=Tasks[[#This Row],[Planned Start]],NETWORKDAYS.INTL(Tasks[[#This Row],[Planned Start]],Tasks[[#This Row],[Start]],WorkWeek,Holidays)-1,1-NETWORKDAYS.INTL(Tasks[[#This Row],[Start]],Tasks[[#This Row],[Planned Start]],WorkWeek,Holidays)))</f>
        <v/>
      </c>
      <c r="AT35" s="62" t="str">
        <f aca="false">IF(Tasks[[#This Row],[Task Name]]="","",IF(Tasks[[#This Row],[_IsSummary]],MIN(INDEX(Tasks[_LeafLateStart],Tasks[[#This Row],[_Row]]+1):INDEX(Tasks[_LeafLateStart],Tasks[[#This Row],[_Row]]+Tasks[[#This Row],[_Descendants]])),Tasks[[#This Row],[_LeafLateStart]]))</f>
        <v/>
      </c>
      <c r="AU35" s="62" t="str">
        <f aca="false">IF(Tasks[[#This Row],[Task Name]]="","",IF(Tasks[[#This Row],[_IsSummary]],MAX(INDEX(Tasks[_LeafLateFinish],Tasks[[#This Row],[_Row]]+1):INDEX(Tasks[_LeafLateFinish],Tasks[[#This Row],[_Row]]+Tasks[[#This Row],[_Descendants]])),Tasks[[#This Row],[_LeafLateFinish]]))</f>
        <v/>
      </c>
      <c r="AV35" s="46"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4"/>
      <c r="BA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5"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6"/>
      <c r="BJ35" s="22"/>
      <c r="BK35" s="46" t="str">
        <f aca="false">IF(OR(Tasks[[#This Row],[Task Name]]="",Tasks[[#This Row],[Baseline Duration]]=""),"",Tasks[[#This Row],[_SpanDays]]-N(Tasks[[#This Row],[Baseline Duration]]))</f>
        <v/>
      </c>
      <c r="BL35" s="85" t="str">
        <f aca="false">IF(OR(Tasks[[#This Row],[Task Name]]="",Tasks[[#This Row],[Baseline Work]]=""),"",Tasks[[#This Row],[Work]]-N(Tasks[[#This Row],[Baseline Work]]))</f>
        <v/>
      </c>
      <c r="BM35" s="62" t="str">
        <f aca="false">IF(Tasks[[#This Row],[Task Name]]="","",IF(OR(TakeBaseline="Yes",N(Tasks[[#This Row],[Baseline Start]])=0),Tasks[[#This Row],[Start]],Tasks[[#This Row],[Baseline Start]]))</f>
        <v/>
      </c>
      <c r="BN35" s="62"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5" t="str">
        <f aca="false">IF(Tasks[[#This Row],[Task Name]]="","",IF(OR(TakeBaseline="Yes",N(Tasks[[#This Row],[Baseline Work]])=0),Tasks[[#This Row],[Work]],Tasks[[#This Row],[Baseline Work]]))</f>
        <v/>
      </c>
      <c r="BQ35" s="7"/>
      <c r="BR35" s="7"/>
      <c r="BS35" s="22"/>
      <c r="BT35" s="87"/>
      <c r="BU35" s="42" t="str">
        <f aca="false">IF(Tasks[[#This Row],[Task Name]]="","",MAX(1,N(Tasks[[#This Row],[Level]])))</f>
        <v/>
      </c>
      <c r="BV35" s="42" t="n">
        <f aca="false">ROW()-ROW(Tasks[[#Headers],[ID]])</f>
        <v>30</v>
      </c>
      <c r="BW35" s="42" t="n">
        <f aca="false">IF(OR(Tasks[[#This Row],[Task Name]]="",Tasks[[#This Row],[_Level]]&lt;=1),0,IFERROR(LOOKUP(2,1/(Tasks[[#Headers],[_Level]]:Tasks[[#This Row],[_Level]]=Tasks[[#This Row],[_Level]]-1),ROW(Tasks[[#Headers],[_Level]]:Tasks[[#This Row],[_Level]])),0))</f>
        <v>0</v>
      </c>
      <c r="BX35" s="42" t="n">
        <f aca="false">IFERROR(N(INDEX(Tasks[_Level],Tasks[[#This Row],[_Row]]+1)),0)</f>
        <v>0</v>
      </c>
      <c r="BY35" s="88" t="b">
        <f aca="false">AND(Tasks[[#This Row],[Task Name]]&lt;&gt;"",Tasks[[#This Row],[_NextLevel]]&gt;Tasks[[#This Row],[_Level]])</f>
        <v>0</v>
      </c>
      <c r="BZ35" s="42" t="n">
        <f aca="false">IF(Tasks[[#This Row],[_IsSummary]],COUNTIF(Tasks[WBS],Tasks[[#This Row],[WBS]]&amp;".*"),0)</f>
        <v>0</v>
      </c>
      <c r="CA35" s="42" t="n">
        <f aca="false">IF(AND(Tasks[[#This Row],[Task Name]]&lt;&gt;"",NOT(Tasks[[#This Row],[_IsSummary]])),1,0)</f>
        <v>0</v>
      </c>
      <c r="CB35" s="42" t="n">
        <f aca="false">IF(N(Tasks[[#This Row],[_Pred1UID]])=0,0,IFERROR(MATCH(Tasks[[#This Row],[_Pred1UID]],Tasks[UID],0),-1))</f>
        <v>0</v>
      </c>
      <c r="CC35" s="42" t="n">
        <f aca="false">IF(N(Tasks[[#This Row],[_Pred2UID]])=0,0,IFERROR(MATCH(Tasks[[#This Row],[_Pred2UID]],Tasks[UID],0),-1))</f>
        <v>0</v>
      </c>
      <c r="CD35" s="42" t="n">
        <f aca="false">IF(N(Tasks[[#This Row],[_Pred3UID]])=0,0,IFERROR(MATCH(Tasks[[#This Row],[_Pred3UID]],Tasks[UID],0),-1))</f>
        <v>0</v>
      </c>
      <c r="CE35" s="42" t="n">
        <f aca="false">IF(N(Tasks[[#This Row],[_Pred4UID]])=0,0,IFERROR(MATCH(Tasks[[#This Row],[_Pred4UID]],Tasks[UID],0),-1))</f>
        <v>0</v>
      </c>
      <c r="CF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5" s="89" t="n">
        <f aca="false">IF(OR(Tasks[[#This Row],[_ConstraintCode]]=2,Tasks[[#This Row],[_ConstraintCode]]=3,Tasks[[#This Row],[_ConstraintCode]]=4,Tasks[[#This Row],[_ConstraintCode]]=6),Tasks[[#This Row],[_ConstraintStart]],0)</f>
        <v>0</v>
      </c>
      <c r="CI35" s="89" t="n">
        <f aca="false">IF(OR(Tasks[[#This Row],[_ConstraintCode]]=2,Tasks[[#This Row],[_ConstraintCode]]=3,Tasks[[#This Row],[_ConstraintCode]]=5,Tasks[[#This Row],[_ConstraintCode]]=7),Tasks[[#This Row],[_ConstraintStart]],2958465)</f>
        <v>2958465</v>
      </c>
      <c r="CJ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5" s="89" t="str">
        <f aca="false">IF(NOT(Tasks[[#This Row],[_IsLeaf]]=1),"",IF(N(Tasks[[#This Row],[_Days]])&lt;=0,Tasks[[#This Row],[_LeafCalcStart]],WORKDAY.INTL(Tasks[[#This Row],[_LeafCalcStart]],Tasks[[#This Row],[_Days]]-1,WorkWeek,Holidays)))</f>
        <v/>
      </c>
      <c r="CL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5" s="42" t="str">
        <f aca="false">IF(Tasks[[#This Row],[_Predecessors]]="","",TRIM(MID(SUBSTITUTE(SUBSTITUTE(SUBSTITUTE(UPPER(Tasks[[#This Row],[_Predecessors]]),";",",")," ",""),",",REPT(" ",99)),1,99)))</f>
        <v/>
      </c>
      <c r="CO35" s="42" t="str">
        <f aca="false">IF(Tasks[[#This Row],[_Pred1Text]]="","",IFERROR(VALUE(LEFT(Tasks[[#This Row],[_Pred1Text]],MIN(FIND("F",Tasks[[#This Row],[_Pred1Text]]&amp;"F"),FIND("S",Tasks[[#This Row],[_Pred1Text]]&amp;"S"),FIND("+",Tasks[[#This Row],[_Pred1Text]]&amp;"+"),FIND("-",Tasks[[#This Row],[_Pred1Text]]&amp;"-"))-1)),""))</f>
        <v/>
      </c>
      <c r="CP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5" s="42" t="str">
        <f aca="false">IF(Tasks[[#This Row],[_Pred1Text]]="","",TRIM(MID(SUBSTITUTE(SUBSTITUTE(SUBSTITUTE(UPPER(Tasks[[#This Row],[_Predecessors]]),";",",")," ",""),",",REPT(" ",99)),100,99)))</f>
        <v/>
      </c>
      <c r="CS35" s="42" t="str">
        <f aca="false">IF(Tasks[[#This Row],[_Pred2Text]]="","",IFERROR(VALUE(LEFT(Tasks[[#This Row],[_Pred2Text]],MIN(FIND("F",Tasks[[#This Row],[_Pred2Text]]&amp;"F"),FIND("S",Tasks[[#This Row],[_Pred2Text]]&amp;"S"),FIND("+",Tasks[[#This Row],[_Pred2Text]]&amp;"+"),FIND("-",Tasks[[#This Row],[_Pred2Text]]&amp;"-"))-1)),""))</f>
        <v/>
      </c>
      <c r="CT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5" s="42" t="str">
        <f aca="false">IF(Tasks[[#This Row],[_Pred2Text]]="","",TRIM(MID(SUBSTITUTE(SUBSTITUTE(SUBSTITUTE(UPPER(Tasks[[#This Row],[_Predecessors]]),";",",")," ",""),",",REPT(" ",99)),199,99)))</f>
        <v/>
      </c>
      <c r="CW35" s="42" t="str">
        <f aca="false">IF(Tasks[[#This Row],[_Pred3Text]]="","",IFERROR(VALUE(LEFT(Tasks[[#This Row],[_Pred3Text]],MIN(FIND("F",Tasks[[#This Row],[_Pred3Text]]&amp;"F"),FIND("S",Tasks[[#This Row],[_Pred3Text]]&amp;"S"),FIND("+",Tasks[[#This Row],[_Pred3Text]]&amp;"+"),FIND("-",Tasks[[#This Row],[_Pred3Text]]&amp;"-"))-1)),""))</f>
        <v/>
      </c>
      <c r="CX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5" s="42" t="str">
        <f aca="false">IF(Tasks[[#This Row],[_Pred3Text]]="","",TRIM(MID(SUBSTITUTE(SUBSTITUTE(SUBSTITUTE(UPPER(Tasks[[#This Row],[_Predecessors]]),";",",")," ",""),",",REPT(" ",99)),298,99)))</f>
        <v/>
      </c>
      <c r="DA35" s="42" t="str">
        <f aca="false">IF(Tasks[[#This Row],[_Pred4Text]]="","",IFERROR(VALUE(LEFT(Tasks[[#This Row],[_Pred4Text]],MIN(FIND("F",Tasks[[#This Row],[_Pred4Text]]&amp;"F"),FIND("S",Tasks[[#This Row],[_Pred4Text]]&amp;"S"),FIND("+",Tasks[[#This Row],[_Pred4Text]]&amp;"+"),FIND("-",Tasks[[#This Row],[_Pred4Text]]&amp;"-"))-1)),""))</f>
        <v/>
      </c>
      <c r="DB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5" s="42" t="str">
        <f aca="false">IF(OR(Tasks[[#This Row],[Task Name]]="",Tasks[[#This Row],[_Resources]]=""),"",TRIM(MID(SUBSTITUTE(Tasks[[#This Row],[_Resources]],",",REPT(" ",99)),1,99)))</f>
        <v/>
      </c>
      <c r="DE35" s="42" t="str">
        <f aca="false">IF(Tasks[[#This Row],[_Res1Text]]="","",TRIM(MID(SUBSTITUTE(Tasks[[#This Row],[_Resources]],",",REPT(" ",99)),100,99)))</f>
        <v/>
      </c>
      <c r="DF35" s="42" t="str">
        <f aca="false">IF(Tasks[[#This Row],[_Res2Text]]="","",TRIM(MID(SUBSTITUTE(Tasks[[#This Row],[_Resources]],",",REPT(" ",99)),199,99)))</f>
        <v/>
      </c>
      <c r="DG35" s="42" t="str">
        <f aca="false">IF(Tasks[[#This Row],[_Res3Text]]="","",TRIM(MID(SUBSTITUTE(Tasks[[#This Row],[_Resources]],",",REPT(" ",99)),298,99)))</f>
        <v/>
      </c>
      <c r="DH35" s="42" t="n">
        <f aca="false">IF(Tasks[[#This Row],[_Res1Text]]="",0,IFERROR(MATCH(TRIM(LEFT(Tasks[[#This Row],[_Res1Text]],FIND("[",Tasks[[#This Row],[_Res1Text]]&amp;"[")-1)),res_Name,0),IFERROR(MATCH(TRIM(LEFT(Tasks[[#This Row],[_Res1Text]],FIND("[",Tasks[[#This Row],[_Res1Text]]&amp;"[")-1)),res_Initials,0),0)))</f>
        <v>0</v>
      </c>
      <c r="DI35" s="42" t="n">
        <f aca="false">IF(Tasks[[#This Row],[_Res2Text]]="",0,IFERROR(MATCH(TRIM(LEFT(Tasks[[#This Row],[_Res2Text]],FIND("[",Tasks[[#This Row],[_Res2Text]]&amp;"[")-1)),res_Name,0),IFERROR(MATCH(TRIM(LEFT(Tasks[[#This Row],[_Res2Text]],FIND("[",Tasks[[#This Row],[_Res2Text]]&amp;"[")-1)),res_Initials,0),0)))</f>
        <v>0</v>
      </c>
      <c r="DJ35" s="42" t="n">
        <f aca="false">IF(Tasks[[#This Row],[_Res3Text]]="",0,IFERROR(MATCH(TRIM(LEFT(Tasks[[#This Row],[_Res3Text]],FIND("[",Tasks[[#This Row],[_Res3Text]]&amp;"[")-1)),res_Name,0),IFERROR(MATCH(TRIM(LEFT(Tasks[[#This Row],[_Res3Text]],FIND("[",Tasks[[#This Row],[_Res3Text]]&amp;"[")-1)),res_Initials,0),0)))</f>
        <v>0</v>
      </c>
      <c r="DK35" s="42" t="n">
        <f aca="false">IF(Tasks[[#This Row],[_Res4Text]]="",0,IFERROR(MATCH(TRIM(LEFT(Tasks[[#This Row],[_Res4Text]],FIND("[",Tasks[[#This Row],[_Res4Text]]&amp;"[")-1)),res_Name,0),IFERROR(MATCH(TRIM(LEFT(Tasks[[#This Row],[_Res4Text]],FIND("[",Tasks[[#This Row],[_Res4Text]]&amp;"[")-1)),res_Initials,0),0)))</f>
        <v>0</v>
      </c>
      <c r="DL35" s="42" t="str">
        <f aca="false">IF(Tasks[[#This Row],[_Res1Text]]="","",IF(Tasks[[#This Row],[_Res1Row]]&gt;0,INDEX(res_Name,Tasks[[#This Row],[_Res1Row]]),TRIM(LEFT(Tasks[[#This Row],[_Res1Text]],FIND("[",Tasks[[#This Row],[_Res1Text]]&amp;"[")-1))))</f>
        <v/>
      </c>
      <c r="DM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5" s="42" t="n">
        <f aca="false">IF(NOT(Tasks[[#This Row],[_IsLeaf]]=1),0,(Tasks[[#This Row],[_Resource1]]&lt;&gt;"")+(Tasks[[#This Row],[_Res2]]&lt;&gt;"")+(Tasks[[#This Row],[_Res3]]&lt;&gt;"")+(Tasks[[#This Row],[_Res4]]&lt;&gt;""))</f>
        <v>0</v>
      </c>
      <c r="DO35" s="42" t="str">
        <f aca="false">IF(Tasks[[#This Row],[_Res2Text]]="","",IF(Tasks[[#This Row],[_Res2Row]]&gt;0,INDEX(res_Name,Tasks[[#This Row],[_Res2Row]]),TRIM(LEFT(Tasks[[#This Row],[_Res2Text]],FIND("[",Tasks[[#This Row],[_Res2Text]]&amp;"[")-1))))</f>
        <v/>
      </c>
      <c r="DP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5" s="42" t="n">
        <f aca="false">IF(OR(NOT(Tasks[[#This Row],[_IsLeaf]]=1),Tasks[[#This Row],[_Res2Row]]=0),0,N(Tasks[[#This Row],[_Days]])*HoursPerDay*IF(Tasks[[#This Row],[_Res2Units]]="",DefaultUnits,Tasks[[#This Row],[_Res2Units]]))</f>
        <v>0</v>
      </c>
      <c r="DR35" s="42" t="n">
        <f aca="false">IF(AND(AND(Tasks[[#This Row],[_IsLeaf]]=1,Tasks[[#This Row],[_LeafTotalWork]]&gt;0),Tasks[[#This Row],[_Res2Work]]&gt;0),Tasks[[#This Row],[_Res2Work]]/(Tasks[[#This Row],[_FinishWorkday]]-Tasks[[#This Row],[_StartWorkday]]+1),0)</f>
        <v>0</v>
      </c>
      <c r="DS35" s="42" t="n">
        <f aca="false">Tasks[[#This Row],[_Res2WorkPerWD]]*MAX(0,Tasks[[#This Row],[_StartWorkday]]-1)</f>
        <v>0</v>
      </c>
      <c r="DT35" s="42" t="n">
        <f aca="false">Tasks[[#This Row],[_Res2Work]]*Tasks[[#This Row],[_LeafProgress]]</f>
        <v>0</v>
      </c>
      <c r="DU35" s="42" t="str">
        <f aca="false">IF(Tasks[[#This Row],[_Res3Text]]="","",IF(Tasks[[#This Row],[_Res3Row]]&gt;0,INDEX(res_Name,Tasks[[#This Row],[_Res3Row]]),TRIM(LEFT(Tasks[[#This Row],[_Res3Text]],FIND("[",Tasks[[#This Row],[_Res3Text]]&amp;"[")-1))))</f>
        <v/>
      </c>
      <c r="DV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5" s="42" t="n">
        <f aca="false">IF(OR(NOT(Tasks[[#This Row],[_IsLeaf]]=1),Tasks[[#This Row],[_Res3Row]]=0),0,N(Tasks[[#This Row],[_Days]])*HoursPerDay*IF(Tasks[[#This Row],[_Res3Units]]="",DefaultUnits,Tasks[[#This Row],[_Res3Units]]))</f>
        <v>0</v>
      </c>
      <c r="DX35" s="42" t="n">
        <f aca="false">IF(AND(AND(Tasks[[#This Row],[_IsLeaf]]=1,Tasks[[#This Row],[_LeafTotalWork]]&gt;0),Tasks[[#This Row],[_Res3Work]]&gt;0),Tasks[[#This Row],[_Res3Work]]/(Tasks[[#This Row],[_FinishWorkday]]-Tasks[[#This Row],[_StartWorkday]]+1),0)</f>
        <v>0</v>
      </c>
      <c r="DY35" s="42" t="n">
        <f aca="false">Tasks[[#This Row],[_Res3WorkPerWD]]*MAX(0,Tasks[[#This Row],[_StartWorkday]]-1)</f>
        <v>0</v>
      </c>
      <c r="DZ35" s="42" t="n">
        <f aca="false">Tasks[[#This Row],[_Res3Work]]*Tasks[[#This Row],[_LeafProgress]]</f>
        <v>0</v>
      </c>
      <c r="EA35" s="42" t="str">
        <f aca="false">IF(Tasks[[#This Row],[_Res4Text]]="","",IF(Tasks[[#This Row],[_Res4Row]]&gt;0,INDEX(res_Name,Tasks[[#This Row],[_Res4Row]]),TRIM(LEFT(Tasks[[#This Row],[_Res4Text]],FIND("[",Tasks[[#This Row],[_Res4Text]]&amp;"[")-1))))</f>
        <v/>
      </c>
      <c r="EB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5" s="42" t="n">
        <f aca="false">IF(OR(NOT(Tasks[[#This Row],[_IsLeaf]]=1),Tasks[[#This Row],[_Res4Row]]=0),0,N(Tasks[[#This Row],[_Days]])*HoursPerDay*IF(Tasks[[#This Row],[_Res4Units]]="",DefaultUnits,Tasks[[#This Row],[_Res4Units]]))</f>
        <v>0</v>
      </c>
      <c r="ED35" s="42" t="n">
        <f aca="false">IF(AND(AND(Tasks[[#This Row],[_IsLeaf]]=1,Tasks[[#This Row],[_LeafTotalWork]]&gt;0),Tasks[[#This Row],[_Res4Work]]&gt;0),Tasks[[#This Row],[_Res4Work]]/(Tasks[[#This Row],[_FinishWorkday]]-Tasks[[#This Row],[_StartWorkday]]+1),0)</f>
        <v>0</v>
      </c>
      <c r="EE35" s="42" t="n">
        <f aca="false">Tasks[[#This Row],[_Res4WorkPerWD]]*MAX(0,Tasks[[#This Row],[_StartWorkday]]-1)</f>
        <v>0</v>
      </c>
      <c r="EF35" s="42" t="n">
        <f aca="false">Tasks[[#This Row],[_Res4Work]]*Tasks[[#This Row],[_LeafProgress]]</f>
        <v>0</v>
      </c>
      <c r="EG35" s="42" t="n">
        <f aca="false">IF(ISNUMBER(Tasks[[#This Row],[% Complete]]),Tasks[[#This Row],[% Complete]],IF(Tasks[[#This Row],[Stage]]="",0,IFERROR(INDEX(stg_Pct,MATCH(Tasks[[#This Row],[Stage]],stg_Name,0)),0)))</f>
        <v>0</v>
      </c>
      <c r="EH35" s="42" t="n">
        <f aca="false">IF(NOT(Tasks[[#This Row],[_IsLeaf]]=1),0,IF(N(Tasks[[#This Row],[Actual Finish]])&gt;0,1,MIN(1,Tasks[[#This Row],[_Pct]])))</f>
        <v>0</v>
      </c>
      <c r="EI35" s="42" t="n">
        <f aca="false">IF(OR(NOT(Tasks[[#This Row],[_IsLeaf]]=1),Tasks[[#This Row],[_Res1Row]]=0),0,N(Tasks[[#This Row],[_Days]])*HoursPerDay*IF(Tasks[[#This Row],[_Units1]]="",DefaultUnits,Tasks[[#This Row],[_Units1]]))</f>
        <v>0</v>
      </c>
      <c r="EJ35" s="42" t="n">
        <f aca="false">Tasks[[#This Row],[_LeafWork]]+Tasks[[#This Row],[_Res2Work]]+Tasks[[#This Row],[_Res3Work]]+Tasks[[#This Row],[_Res4Work]]</f>
        <v>0</v>
      </c>
      <c r="EK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5" s="42" t="n">
        <f aca="false">IF(NOT(Tasks[[#This Row],[_IsLeaf]]=1),0,MAX(_xlfn.MAXIFS(Tasks[_Row],Tasks[_Pred1UID],Tasks[[#This Row],[UID]]),_xlfn.MAXIFS(Tasks[_Row],Tasks[_Pred2UID],Tasks[[#This Row],[UID]]),_xlfn.MAXIFS(Tasks[_Row],Tasks[_Pred3UID],Tasks[[#This Row],[UID]]),_xlfn.MAXIFS(Tasks[_Row],Tasks[_Pred4UID],Tasks[[#This Row],[UID]])))</f>
        <v>0</v>
      </c>
      <c r="ET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5" s="89" t="str">
        <f aca="false">IF(NOT(Tasks[[#This Row],[_IsLeaf]]=1),"",IF(N(Tasks[[#This Row],[_Days]])&lt;=0,Tasks[[#This Row],[_LeafLateFinish]],WORKDAY.INTL(Tasks[[#This Row],[_LeafLateFinish]],-(Tasks[[#This Row],[_Days]]-1),WorkWeek,Holidays)))</f>
        <v/>
      </c>
      <c r="EW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5" s="88" t="b">
        <f aca="false">AND(Tasks[[#This Row],[_IsLeaf]]=1,Tasks[[#This Row],[_LeafProgress]]&lt;1,N(Tasks[[#This Row],[_LeafTotalSlack]])&lt;=CriticalSlackDays)</f>
        <v>0</v>
      </c>
      <c r="EY35" s="42" t="n">
        <f aca="false">IF(AND(Tasks[[#This Row],[_IsLeaf]]=1,Tasks[[#This Row],[_ConstraintCode]]=1,Tasks[[#This Row],[Mode]]&lt;&gt;"Manual",N(Tasks[[#This Row],[Actual Start]])=0),MAX(0,N(Tasks[[#This Row],[Free Slack]])),0)</f>
        <v>0</v>
      </c>
      <c r="EZ35" s="89" t="str">
        <f aca="false">IF(NOT(Tasks[[#This Row],[_IsLeaf]]=1),"",IF(Tasks[[#This Row],[_AlapShift]]=0,Tasks[[#This Row],[_LeafCalcStart]],WORKDAY.INTL(Tasks[[#This Row],[_LeafCalcStart]],Tasks[[#This Row],[_AlapShift]],WorkWeek,Holidays)))</f>
        <v/>
      </c>
      <c r="FA35" s="89" t="str">
        <f aca="false">IF(NOT(Tasks[[#This Row],[_IsLeaf]]=1),"",IF(Tasks[[#This Row],[_AlapShift]]=0,Tasks[[#This Row],[_LeafCalcFinish]],WORKDAY.INTL(Tasks[[#This Row],[_LeafCalcFinish]],Tasks[[#This Row],[_AlapShift]],WorkWeek,Holidays)))</f>
        <v/>
      </c>
      <c r="FB35" s="89" t="str">
        <f aca="false">IF(NOT(Tasks[[#This Row],[_IsLeaf]]=1),"",IF(Tasks[[#This Row],[_AlapShift]]=0,Tasks[[#This Row],[_LeafFcstStart]],WORKDAY.INTL(Tasks[[#This Row],[_LeafFcstStart]],Tasks[[#This Row],[_AlapShift]],WorkWeek,Holidays)))</f>
        <v/>
      </c>
      <c r="FC35" s="89" t="str">
        <f aca="false">IF(NOT(Tasks[[#This Row],[_IsLeaf]]=1),"",IF(Tasks[[#This Row],[_AlapShift]]=0,Tasks[[#This Row],[_LeafFcstFinish]],WORKDAY.INTL(Tasks[[#This Row],[_LeafFcstFinish]],Tasks[[#This Row],[_AlapShift]],WorkWeek,Holidays)))</f>
        <v/>
      </c>
      <c r="FD35" s="89" t="str">
        <f aca="false">IF(Tasks[[#This Row],[Task Name]]="","",IF(Tasks[[#This Row],[_IsSummary]],MIN(INDEX(Tasks[_ShownCalcStart],Tasks[[#This Row],[_Row]]+1):INDEX(Tasks[_ShownCalcStart],Tasks[[#This Row],[_Row]]+Tasks[[#This Row],[_Descendants]])),Tasks[[#This Row],[_ShownCalcStart]]))</f>
        <v/>
      </c>
      <c r="FE35" s="89" t="str">
        <f aca="false">IF(Tasks[[#This Row],[Task Name]]="","",IF(Tasks[[#This Row],[_IsSummary]],MAX(INDEX(Tasks[_ShownCalcFinish],Tasks[[#This Row],[_Row]]+1):INDEX(Tasks[_ShownCalcFinish],Tasks[[#This Row],[_Row]]+Tasks[[#This Row],[_Descendants]])),Tasks[[#This Row],[_ShownCalcFinish]]))</f>
        <v/>
      </c>
      <c r="FF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5" s="42" t="n">
        <f aca="false">IF(AND(Tasks[[#This Row],[_IsLeaf]]=1,Tasks[[#This Row],[_LeafTotalWork]]&gt;0),NETWORKDAYS.INTL(ProjectStart,Tasks[[#This Row],[_ShownFcstStart]],WorkWeek,Holidays),0)</f>
        <v>0</v>
      </c>
      <c r="FS35" s="42" t="n">
        <f aca="false">IF(AND(Tasks[[#This Row],[_IsLeaf]]=1,Tasks[[#This Row],[_LeafTotalWork]]&gt;0),MAX(Tasks[[#This Row],[_StartWorkday]],NETWORKDAYS.INTL(ProjectStart,Tasks[[#This Row],[_ShownFcstFinish]],WorkWeek,Holidays)),0)</f>
        <v>0</v>
      </c>
      <c r="FT35" s="42" t="n">
        <f aca="false">IF(AND(Tasks[[#This Row],[_IsLeaf]]=1,Tasks[[#This Row],[_LeafTotalWork]]&gt;0),Tasks[[#This Row],[_LeafWork]]/(Tasks[[#This Row],[_FinishWorkday]]-Tasks[[#This Row],[_StartWorkday]]+1),0)</f>
        <v>0</v>
      </c>
      <c r="FU35" s="42" t="n">
        <f aca="false">Tasks[[#This Row],[_WorkPerWorkday]]*(Tasks[[#This Row],[_StartWorkday]]-1)</f>
        <v>-0</v>
      </c>
      <c r="FV35" s="42" t="n">
        <f aca="false">IF(Tasks[[#This Row],[_IsLeaf]]=1,MAX(N(Tasks[[#This Row],[_Days]]),0.1),0)</f>
        <v>0</v>
      </c>
      <c r="FW35" s="42" t="n">
        <f aca="false">Tasks[[#This Row],[_WeightDur]]*Tasks[[#This Row],[_LeafProgress]]</f>
        <v>0</v>
      </c>
      <c r="FX35" s="42" t="n">
        <f aca="false">Tasks[[#This Row],[_WeightDur]]*Tasks[[#This Row],[_PlannedPct]]</f>
        <v>0</v>
      </c>
      <c r="FY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5" s="42" t="str">
        <f aca="false">IF(AND(Tasks[[#This Row],[_IsLeaf]]=1,N(Tasks[[#This Row],[_Days]])=0,Tasks[[#This Row],[_LeafProgress]]&lt;1),Tasks[[#This Row],[_ShownFcstFinish]]+Tasks[[#This Row],[_Row]]/100000,"")</f>
        <v/>
      </c>
      <c r="GA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5" s="42" t="str">
        <f aca="false">IF(Tasks[[#This Row],[Task Name]]="","",LEFT(Tasks[[#This Row],[WBS]],FIND(".",Tasks[[#This Row],[WBS]]&amp;".")-1))</f>
        <v/>
      </c>
      <c r="GC35" s="42" t="str">
        <f aca="false">IF(AND(Tasks[[#This Row],[Task Name]]&lt;&gt;"",Tasks[[#This Row],[_Level]]=1),Tasks[[#This Row],[_Row]],"")</f>
        <v/>
      </c>
      <c r="GD35" s="42" t="str">
        <f aca="false">IF(AND(Tasks[[#This Row],[_IsLeaf]]=1,N(Tasks[[#This Row],[_Days]])=0),Tasks[[#This Row],[Planned Finish]]+Tasks[[#This Row],[_Row]]/100000,"")</f>
        <v/>
      </c>
      <c r="GE35" s="42" t="str">
        <f aca="false">IF(AND(Tasks[[#This Row],[_IsLeaf]]=1,Tasks[[#This Row],[_LeafProgress]]&lt;1,OR(N(Tasks[[#This Row],[Finish Var]])&gt;0,Tasks[[#This Row],[Status]]="Late Start")),MAX(0,Tasks[[#This Row],[Finish Var]])+1-Tasks[[#This Row],[_Row]]/1000000,"")</f>
        <v/>
      </c>
      <c r="GF35" s="42" t="str">
        <f aca="false">IF(AND(Tasks[[#This Row],[_IsLeaf]]=1,N(Tasks[[#This Row],[Actual Start]])=0,Tasks[[#This Row],[_ShownFcstStart]]&gt;=StatusDate,Tasks[[#This Row],[_ShownFcstStart]]&lt;=LookaheadEnd),Tasks[[#This Row],[_ShownFcstStart]]+Tasks[[#This Row],[_Row]]/100000,"")</f>
        <v/>
      </c>
      <c r="GG35" s="42" t="str">
        <f aca="false">IF(AND(Tasks[[#This Row],[_IsLeaf]]=1,Tasks[[#This Row],[_LeafProgress]]&lt;1,Tasks[[#This Row],[_ShownFcstFinish]]&gt;=StatusDate,Tasks[[#This Row],[_ShownFcstFinish]]&lt;=LookaheadEnd),Tasks[[#This Row],[_ShownFcstFinish]]+Tasks[[#This Row],[_Row]]/100000,"")</f>
        <v/>
      </c>
      <c r="GH35" s="42" t="str">
        <f aca="false">IF(Tasks[[#This Row],[_LeafCritical]],Tasks[[#This Row],[_ShownFcstStart]]+Tasks[[#This Row],[_Row]]/100000,"")</f>
        <v/>
      </c>
      <c r="GI35" s="42" t="n">
        <f aca="false">Tasks[[#This Row],[_LeafWork]]*Tasks[[#This Row],[_LeafProgress]]</f>
        <v>0</v>
      </c>
      <c r="GJ35" s="89" t="str">
        <f aca="false">IF(AND(Tasks[[#This Row],[_IsLeaf]]=1,Tasks[[#This Row],[_LeafProgress]]&gt;=1),IF(N(Tasks[[#This Row],[Actual Finish]])&gt;0,Tasks[[#This Row],[Actual Finish]],Tasks[[#This Row],[_ShownFcstFinish]]),"")</f>
        <v/>
      </c>
      <c r="GK35" s="42" t="n">
        <f aca="false">IF(Tasks[[#This Row],[_IsLeaf]]=1,N(Tasks[[#This Row],[Story Points]]),0)</f>
        <v>0</v>
      </c>
      <c r="GL35" s="42" t="str">
        <f aca="false">""</f>
        <v/>
      </c>
      <c r="GM35" s="88" t="b">
        <f aca="false">IF(Tasks[[#This Row],[Task Name]]="",FALSE(),AND(Tasks[[#This Row],[_IsLeaf]]=1,N(Tasks[[#This Row],[_Days]])=0))</f>
        <v>0</v>
      </c>
      <c r="GN35" s="89" t="n">
        <f aca="false">IF(Tasks[[#This Row],[Task Name]]="",0,IF(AND(Tasks[[#This Row],[_IsLeaf]]=1,NOT(Tasks[[#This Row],[_IsMilestone]]),N(Tasks[[#This Row],[Progress]])&gt;0),Tasks[[#This Row],[Start]],0))</f>
        <v>0</v>
      </c>
      <c r="GO35" s="89" t="n">
        <f aca="false">IF(Tasks[[#This Row],[_DoneFrom]]=0,0,IF(Tasks[[#This Row],[Progress]]&gt;=1,Tasks[[#This Row],[Finish]],MAX(Tasks[[#This Row],[_DoneFrom]],Tasks[[#This Row],[Start]]+ROUND((Tasks[[#This Row],[Finish]]-Tasks[[#This Row],[Start]]+1)*Tasks[[#This Row],[Progress]],0)-1)))</f>
        <v>0</v>
      </c>
      <c r="GP35" s="89" t="n">
        <f aca="false">IF(Tasks[[#This Row],[Task Name]]="",0,IF(OR(NOT(Tasks[[#This Row],[_IsLeaf]]=1),Tasks[[#This Row],[_IsMilestone]],N(Tasks[[#This Row],[Progress]])&gt;=1),0,IF(Tasks[[#This Row],[_DoneTo]]&gt;0,Tasks[[#This Row],[_DoneTo]]+1,Tasks[[#This Row],[Start]])))</f>
        <v>0</v>
      </c>
      <c r="GQ35" s="89" t="n">
        <f aca="false">IF(Tasks[[#This Row],[_RemFrom]]=0,0,Tasks[[#This Row],[Finish]])</f>
        <v>0</v>
      </c>
      <c r="GR35" s="88" t="b">
        <f aca="false">IF(Tasks[[#This Row],[Task Name]]="",FALSE(),OR(NOT(BaselineSet),N(Tasks[[#This Row],[Baseline Start]])&gt;0))</f>
        <v>0</v>
      </c>
      <c r="GS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5" s="90" t="str">
        <f aca="false">IF(Tasks[[#This Row],[_IsLeaf]]=1,Tasks[[#This Row],[_Row]],"")</f>
        <v/>
      </c>
      <c r="GW35" s="90" t="str">
        <f aca="false">IFERROR(INDEX(Tasks[UID],SMALL(Tasks[_PickKey],Tasks[[#This Row],[_Row]]))&amp;" "&amp;INDEX(Tasks[Task Name],SMALL(Tasks[_PickKey],Tasks[[#This Row],[_Row]])),"")</f>
        <v/>
      </c>
      <c r="GX35" s="42" t="str">
        <f aca="false">IF(Tasks[[#This Row],[Task Name]]="","",IF(Tasks[[#This Row],[_IsSummary]],NETWORKDAYS.INTL(Tasks[[#This Row],[Start]],Tasks[[#This Row],[Finish]],WorkWeek,Holidays),N(Tasks[[#This Row],[_Days]])))</f>
        <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3"/>
      <c r="U36" s="23"/>
      <c r="V36" s="83"/>
      <c r="W36" s="23"/>
      <c r="X36" s="83"/>
      <c r="Y36" s="23"/>
      <c r="Z36" s="83"/>
      <c r="AA36" s="23"/>
      <c r="AB36" s="23"/>
      <c r="AC36" s="7"/>
      <c r="AD36" s="7"/>
      <c r="AE36" s="62" t="str">
        <f aca="false">IF(Tasks[[#This Row],[Task Name]]="","",IF(Tasks[[#This Row],[_IsSummary]],MIN(INDEX(Tasks[_ShownFcstStart],Tasks[[#This Row],[_Row]]+1):INDEX(Tasks[_ShownFcstStart],Tasks[[#This Row],[_Row]]+Tasks[[#This Row],[_Descendants]])),Tasks[[#This Row],[_ShownFcstStart]]))</f>
        <v/>
      </c>
      <c r="AF36" s="62"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6" s="7"/>
      <c r="AK36" s="22"/>
      <c r="AL36" s="23"/>
      <c r="AM36" s="7"/>
      <c r="AN36" s="46"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2" t="str">
        <f aca="false">IF(Tasks[[#This Row],[Task Name]]="","",IF(N(Tasks[[#This Row],[Baseline Start]])&gt;0,Tasks[[#This Row],[Baseline Start]],Tasks[[#This Row],[_CalcStart]]))</f>
        <v/>
      </c>
      <c r="AR36" s="62" t="str">
        <f aca="false">IF(Tasks[[#This Row],[Task Name]]="","",IF(N(Tasks[[#This Row],[Baseline Finish]])&gt;0,Tasks[[#This Row],[Baseline Finish]],Tasks[[#This Row],[_CalcFinish]]))</f>
        <v/>
      </c>
      <c r="AS36" s="46" t="str">
        <f aca="false">IF(Tasks[[#This Row],[Task Name]]="","",IF(Tasks[[#This Row],[Start]]&gt;=Tasks[[#This Row],[Planned Start]],NETWORKDAYS.INTL(Tasks[[#This Row],[Planned Start]],Tasks[[#This Row],[Start]],WorkWeek,Holidays)-1,1-NETWORKDAYS.INTL(Tasks[[#This Row],[Start]],Tasks[[#This Row],[Planned Start]],WorkWeek,Holidays)))</f>
        <v/>
      </c>
      <c r="AT36" s="62" t="str">
        <f aca="false">IF(Tasks[[#This Row],[Task Name]]="","",IF(Tasks[[#This Row],[_IsSummary]],MIN(INDEX(Tasks[_LeafLateStart],Tasks[[#This Row],[_Row]]+1):INDEX(Tasks[_LeafLateStart],Tasks[[#This Row],[_Row]]+Tasks[[#This Row],[_Descendants]])),Tasks[[#This Row],[_LeafLateStart]]))</f>
        <v/>
      </c>
      <c r="AU36" s="62" t="str">
        <f aca="false">IF(Tasks[[#This Row],[Task Name]]="","",IF(Tasks[[#This Row],[_IsSummary]],MAX(INDEX(Tasks[_LeafLateFinish],Tasks[[#This Row],[_Row]]+1):INDEX(Tasks[_LeafLateFinish],Tasks[[#This Row],[_Row]]+Tasks[[#This Row],[_Descendants]])),Tasks[[#This Row],[_LeafLateFinish]]))</f>
        <v/>
      </c>
      <c r="AV36" s="46"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4"/>
      <c r="BA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5"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6"/>
      <c r="BJ36" s="22"/>
      <c r="BK36" s="46" t="str">
        <f aca="false">IF(OR(Tasks[[#This Row],[Task Name]]="",Tasks[[#This Row],[Baseline Duration]]=""),"",Tasks[[#This Row],[_SpanDays]]-N(Tasks[[#This Row],[Baseline Duration]]))</f>
        <v/>
      </c>
      <c r="BL36" s="85" t="str">
        <f aca="false">IF(OR(Tasks[[#This Row],[Task Name]]="",Tasks[[#This Row],[Baseline Work]]=""),"",Tasks[[#This Row],[Work]]-N(Tasks[[#This Row],[Baseline Work]]))</f>
        <v/>
      </c>
      <c r="BM36" s="62" t="str">
        <f aca="false">IF(Tasks[[#This Row],[Task Name]]="","",IF(OR(TakeBaseline="Yes",N(Tasks[[#This Row],[Baseline Start]])=0),Tasks[[#This Row],[Start]],Tasks[[#This Row],[Baseline Start]]))</f>
        <v/>
      </c>
      <c r="BN36" s="62"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5" t="str">
        <f aca="false">IF(Tasks[[#This Row],[Task Name]]="","",IF(OR(TakeBaseline="Yes",N(Tasks[[#This Row],[Baseline Work]])=0),Tasks[[#This Row],[Work]],Tasks[[#This Row],[Baseline Work]]))</f>
        <v/>
      </c>
      <c r="BQ36" s="7"/>
      <c r="BR36" s="7"/>
      <c r="BS36" s="22"/>
      <c r="BT36" s="87"/>
      <c r="BU36" s="42" t="str">
        <f aca="false">IF(Tasks[[#This Row],[Task Name]]="","",MAX(1,N(Tasks[[#This Row],[Level]])))</f>
        <v/>
      </c>
      <c r="BV36" s="42" t="n">
        <f aca="false">ROW()-ROW(Tasks[[#Headers],[ID]])</f>
        <v>31</v>
      </c>
      <c r="BW36" s="42" t="n">
        <f aca="false">IF(OR(Tasks[[#This Row],[Task Name]]="",Tasks[[#This Row],[_Level]]&lt;=1),0,IFERROR(LOOKUP(2,1/(Tasks[[#Headers],[_Level]]:Tasks[[#This Row],[_Level]]=Tasks[[#This Row],[_Level]]-1),ROW(Tasks[[#Headers],[_Level]]:Tasks[[#This Row],[_Level]])),0))</f>
        <v>0</v>
      </c>
      <c r="BX36" s="42" t="n">
        <f aca="false">IFERROR(N(INDEX(Tasks[_Level],Tasks[[#This Row],[_Row]]+1)),0)</f>
        <v>0</v>
      </c>
      <c r="BY36" s="88" t="b">
        <f aca="false">AND(Tasks[[#This Row],[Task Name]]&lt;&gt;"",Tasks[[#This Row],[_NextLevel]]&gt;Tasks[[#This Row],[_Level]])</f>
        <v>0</v>
      </c>
      <c r="BZ36" s="42" t="n">
        <f aca="false">IF(Tasks[[#This Row],[_IsSummary]],COUNTIF(Tasks[WBS],Tasks[[#This Row],[WBS]]&amp;".*"),0)</f>
        <v>0</v>
      </c>
      <c r="CA36" s="42" t="n">
        <f aca="false">IF(AND(Tasks[[#This Row],[Task Name]]&lt;&gt;"",NOT(Tasks[[#This Row],[_IsSummary]])),1,0)</f>
        <v>0</v>
      </c>
      <c r="CB36" s="42" t="n">
        <f aca="false">IF(N(Tasks[[#This Row],[_Pred1UID]])=0,0,IFERROR(MATCH(Tasks[[#This Row],[_Pred1UID]],Tasks[UID],0),-1))</f>
        <v>0</v>
      </c>
      <c r="CC36" s="42" t="n">
        <f aca="false">IF(N(Tasks[[#This Row],[_Pred2UID]])=0,0,IFERROR(MATCH(Tasks[[#This Row],[_Pred2UID]],Tasks[UID],0),-1))</f>
        <v>0</v>
      </c>
      <c r="CD36" s="42" t="n">
        <f aca="false">IF(N(Tasks[[#This Row],[_Pred3UID]])=0,0,IFERROR(MATCH(Tasks[[#This Row],[_Pred3UID]],Tasks[UID],0),-1))</f>
        <v>0</v>
      </c>
      <c r="CE36" s="42" t="n">
        <f aca="false">IF(N(Tasks[[#This Row],[_Pred4UID]])=0,0,IFERROR(MATCH(Tasks[[#This Row],[_Pred4UID]],Tasks[UID],0),-1))</f>
        <v>0</v>
      </c>
      <c r="CF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6" s="89" t="n">
        <f aca="false">IF(OR(Tasks[[#This Row],[_ConstraintCode]]=2,Tasks[[#This Row],[_ConstraintCode]]=3,Tasks[[#This Row],[_ConstraintCode]]=4,Tasks[[#This Row],[_ConstraintCode]]=6),Tasks[[#This Row],[_ConstraintStart]],0)</f>
        <v>0</v>
      </c>
      <c r="CI36" s="89" t="n">
        <f aca="false">IF(OR(Tasks[[#This Row],[_ConstraintCode]]=2,Tasks[[#This Row],[_ConstraintCode]]=3,Tasks[[#This Row],[_ConstraintCode]]=5,Tasks[[#This Row],[_ConstraintCode]]=7),Tasks[[#This Row],[_ConstraintStart]],2958465)</f>
        <v>2958465</v>
      </c>
      <c r="CJ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6" s="89" t="str">
        <f aca="false">IF(NOT(Tasks[[#This Row],[_IsLeaf]]=1),"",IF(N(Tasks[[#This Row],[_Days]])&lt;=0,Tasks[[#This Row],[_LeafCalcStart]],WORKDAY.INTL(Tasks[[#This Row],[_LeafCalcStart]],Tasks[[#This Row],[_Days]]-1,WorkWeek,Holidays)))</f>
        <v/>
      </c>
      <c r="CL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6" s="42" t="str">
        <f aca="false">IF(Tasks[[#This Row],[_Predecessors]]="","",TRIM(MID(SUBSTITUTE(SUBSTITUTE(SUBSTITUTE(UPPER(Tasks[[#This Row],[_Predecessors]]),";",",")," ",""),",",REPT(" ",99)),1,99)))</f>
        <v/>
      </c>
      <c r="CO36" s="42" t="str">
        <f aca="false">IF(Tasks[[#This Row],[_Pred1Text]]="","",IFERROR(VALUE(LEFT(Tasks[[#This Row],[_Pred1Text]],MIN(FIND("F",Tasks[[#This Row],[_Pred1Text]]&amp;"F"),FIND("S",Tasks[[#This Row],[_Pred1Text]]&amp;"S"),FIND("+",Tasks[[#This Row],[_Pred1Text]]&amp;"+"),FIND("-",Tasks[[#This Row],[_Pred1Text]]&amp;"-"))-1)),""))</f>
        <v/>
      </c>
      <c r="CP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6" s="42" t="str">
        <f aca="false">IF(Tasks[[#This Row],[_Pred1Text]]="","",TRIM(MID(SUBSTITUTE(SUBSTITUTE(SUBSTITUTE(UPPER(Tasks[[#This Row],[_Predecessors]]),";",",")," ",""),",",REPT(" ",99)),100,99)))</f>
        <v/>
      </c>
      <c r="CS36" s="42" t="str">
        <f aca="false">IF(Tasks[[#This Row],[_Pred2Text]]="","",IFERROR(VALUE(LEFT(Tasks[[#This Row],[_Pred2Text]],MIN(FIND("F",Tasks[[#This Row],[_Pred2Text]]&amp;"F"),FIND("S",Tasks[[#This Row],[_Pred2Text]]&amp;"S"),FIND("+",Tasks[[#This Row],[_Pred2Text]]&amp;"+"),FIND("-",Tasks[[#This Row],[_Pred2Text]]&amp;"-"))-1)),""))</f>
        <v/>
      </c>
      <c r="CT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6" s="42" t="str">
        <f aca="false">IF(Tasks[[#This Row],[_Pred2Text]]="","",TRIM(MID(SUBSTITUTE(SUBSTITUTE(SUBSTITUTE(UPPER(Tasks[[#This Row],[_Predecessors]]),";",",")," ",""),",",REPT(" ",99)),199,99)))</f>
        <v/>
      </c>
      <c r="CW36" s="42" t="str">
        <f aca="false">IF(Tasks[[#This Row],[_Pred3Text]]="","",IFERROR(VALUE(LEFT(Tasks[[#This Row],[_Pred3Text]],MIN(FIND("F",Tasks[[#This Row],[_Pred3Text]]&amp;"F"),FIND("S",Tasks[[#This Row],[_Pred3Text]]&amp;"S"),FIND("+",Tasks[[#This Row],[_Pred3Text]]&amp;"+"),FIND("-",Tasks[[#This Row],[_Pred3Text]]&amp;"-"))-1)),""))</f>
        <v/>
      </c>
      <c r="CX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6" s="42" t="str">
        <f aca="false">IF(Tasks[[#This Row],[_Pred3Text]]="","",TRIM(MID(SUBSTITUTE(SUBSTITUTE(SUBSTITUTE(UPPER(Tasks[[#This Row],[_Predecessors]]),";",",")," ",""),",",REPT(" ",99)),298,99)))</f>
        <v/>
      </c>
      <c r="DA36" s="42" t="str">
        <f aca="false">IF(Tasks[[#This Row],[_Pred4Text]]="","",IFERROR(VALUE(LEFT(Tasks[[#This Row],[_Pred4Text]],MIN(FIND("F",Tasks[[#This Row],[_Pred4Text]]&amp;"F"),FIND("S",Tasks[[#This Row],[_Pred4Text]]&amp;"S"),FIND("+",Tasks[[#This Row],[_Pred4Text]]&amp;"+"),FIND("-",Tasks[[#This Row],[_Pred4Text]]&amp;"-"))-1)),""))</f>
        <v/>
      </c>
      <c r="DB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6" s="42" t="str">
        <f aca="false">IF(OR(Tasks[[#This Row],[Task Name]]="",Tasks[[#This Row],[_Resources]]=""),"",TRIM(MID(SUBSTITUTE(Tasks[[#This Row],[_Resources]],",",REPT(" ",99)),1,99)))</f>
        <v/>
      </c>
      <c r="DE36" s="42" t="str">
        <f aca="false">IF(Tasks[[#This Row],[_Res1Text]]="","",TRIM(MID(SUBSTITUTE(Tasks[[#This Row],[_Resources]],",",REPT(" ",99)),100,99)))</f>
        <v/>
      </c>
      <c r="DF36" s="42" t="str">
        <f aca="false">IF(Tasks[[#This Row],[_Res2Text]]="","",TRIM(MID(SUBSTITUTE(Tasks[[#This Row],[_Resources]],",",REPT(" ",99)),199,99)))</f>
        <v/>
      </c>
      <c r="DG36" s="42" t="str">
        <f aca="false">IF(Tasks[[#This Row],[_Res3Text]]="","",TRIM(MID(SUBSTITUTE(Tasks[[#This Row],[_Resources]],",",REPT(" ",99)),298,99)))</f>
        <v/>
      </c>
      <c r="DH36" s="42" t="n">
        <f aca="false">IF(Tasks[[#This Row],[_Res1Text]]="",0,IFERROR(MATCH(TRIM(LEFT(Tasks[[#This Row],[_Res1Text]],FIND("[",Tasks[[#This Row],[_Res1Text]]&amp;"[")-1)),res_Name,0),IFERROR(MATCH(TRIM(LEFT(Tasks[[#This Row],[_Res1Text]],FIND("[",Tasks[[#This Row],[_Res1Text]]&amp;"[")-1)),res_Initials,0),0)))</f>
        <v>0</v>
      </c>
      <c r="DI36" s="42" t="n">
        <f aca="false">IF(Tasks[[#This Row],[_Res2Text]]="",0,IFERROR(MATCH(TRIM(LEFT(Tasks[[#This Row],[_Res2Text]],FIND("[",Tasks[[#This Row],[_Res2Text]]&amp;"[")-1)),res_Name,0),IFERROR(MATCH(TRIM(LEFT(Tasks[[#This Row],[_Res2Text]],FIND("[",Tasks[[#This Row],[_Res2Text]]&amp;"[")-1)),res_Initials,0),0)))</f>
        <v>0</v>
      </c>
      <c r="DJ36" s="42" t="n">
        <f aca="false">IF(Tasks[[#This Row],[_Res3Text]]="",0,IFERROR(MATCH(TRIM(LEFT(Tasks[[#This Row],[_Res3Text]],FIND("[",Tasks[[#This Row],[_Res3Text]]&amp;"[")-1)),res_Name,0),IFERROR(MATCH(TRIM(LEFT(Tasks[[#This Row],[_Res3Text]],FIND("[",Tasks[[#This Row],[_Res3Text]]&amp;"[")-1)),res_Initials,0),0)))</f>
        <v>0</v>
      </c>
      <c r="DK36" s="42" t="n">
        <f aca="false">IF(Tasks[[#This Row],[_Res4Text]]="",0,IFERROR(MATCH(TRIM(LEFT(Tasks[[#This Row],[_Res4Text]],FIND("[",Tasks[[#This Row],[_Res4Text]]&amp;"[")-1)),res_Name,0),IFERROR(MATCH(TRIM(LEFT(Tasks[[#This Row],[_Res4Text]],FIND("[",Tasks[[#This Row],[_Res4Text]]&amp;"[")-1)),res_Initials,0),0)))</f>
        <v>0</v>
      </c>
      <c r="DL36" s="42" t="str">
        <f aca="false">IF(Tasks[[#This Row],[_Res1Text]]="","",IF(Tasks[[#This Row],[_Res1Row]]&gt;0,INDEX(res_Name,Tasks[[#This Row],[_Res1Row]]),TRIM(LEFT(Tasks[[#This Row],[_Res1Text]],FIND("[",Tasks[[#This Row],[_Res1Text]]&amp;"[")-1))))</f>
        <v/>
      </c>
      <c r="DM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6" s="42" t="n">
        <f aca="false">IF(NOT(Tasks[[#This Row],[_IsLeaf]]=1),0,(Tasks[[#This Row],[_Resource1]]&lt;&gt;"")+(Tasks[[#This Row],[_Res2]]&lt;&gt;"")+(Tasks[[#This Row],[_Res3]]&lt;&gt;"")+(Tasks[[#This Row],[_Res4]]&lt;&gt;""))</f>
        <v>0</v>
      </c>
      <c r="DO36" s="42" t="str">
        <f aca="false">IF(Tasks[[#This Row],[_Res2Text]]="","",IF(Tasks[[#This Row],[_Res2Row]]&gt;0,INDEX(res_Name,Tasks[[#This Row],[_Res2Row]]),TRIM(LEFT(Tasks[[#This Row],[_Res2Text]],FIND("[",Tasks[[#This Row],[_Res2Text]]&amp;"[")-1))))</f>
        <v/>
      </c>
      <c r="DP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6" s="42" t="n">
        <f aca="false">IF(OR(NOT(Tasks[[#This Row],[_IsLeaf]]=1),Tasks[[#This Row],[_Res2Row]]=0),0,N(Tasks[[#This Row],[_Days]])*HoursPerDay*IF(Tasks[[#This Row],[_Res2Units]]="",DefaultUnits,Tasks[[#This Row],[_Res2Units]]))</f>
        <v>0</v>
      </c>
      <c r="DR36" s="42" t="n">
        <f aca="false">IF(AND(AND(Tasks[[#This Row],[_IsLeaf]]=1,Tasks[[#This Row],[_LeafTotalWork]]&gt;0),Tasks[[#This Row],[_Res2Work]]&gt;0),Tasks[[#This Row],[_Res2Work]]/(Tasks[[#This Row],[_FinishWorkday]]-Tasks[[#This Row],[_StartWorkday]]+1),0)</f>
        <v>0</v>
      </c>
      <c r="DS36" s="42" t="n">
        <f aca="false">Tasks[[#This Row],[_Res2WorkPerWD]]*MAX(0,Tasks[[#This Row],[_StartWorkday]]-1)</f>
        <v>0</v>
      </c>
      <c r="DT36" s="42" t="n">
        <f aca="false">Tasks[[#This Row],[_Res2Work]]*Tasks[[#This Row],[_LeafProgress]]</f>
        <v>0</v>
      </c>
      <c r="DU36" s="42" t="str">
        <f aca="false">IF(Tasks[[#This Row],[_Res3Text]]="","",IF(Tasks[[#This Row],[_Res3Row]]&gt;0,INDEX(res_Name,Tasks[[#This Row],[_Res3Row]]),TRIM(LEFT(Tasks[[#This Row],[_Res3Text]],FIND("[",Tasks[[#This Row],[_Res3Text]]&amp;"[")-1))))</f>
        <v/>
      </c>
      <c r="DV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6" s="42" t="n">
        <f aca="false">IF(OR(NOT(Tasks[[#This Row],[_IsLeaf]]=1),Tasks[[#This Row],[_Res3Row]]=0),0,N(Tasks[[#This Row],[_Days]])*HoursPerDay*IF(Tasks[[#This Row],[_Res3Units]]="",DefaultUnits,Tasks[[#This Row],[_Res3Units]]))</f>
        <v>0</v>
      </c>
      <c r="DX36" s="42" t="n">
        <f aca="false">IF(AND(AND(Tasks[[#This Row],[_IsLeaf]]=1,Tasks[[#This Row],[_LeafTotalWork]]&gt;0),Tasks[[#This Row],[_Res3Work]]&gt;0),Tasks[[#This Row],[_Res3Work]]/(Tasks[[#This Row],[_FinishWorkday]]-Tasks[[#This Row],[_StartWorkday]]+1),0)</f>
        <v>0</v>
      </c>
      <c r="DY36" s="42" t="n">
        <f aca="false">Tasks[[#This Row],[_Res3WorkPerWD]]*MAX(0,Tasks[[#This Row],[_StartWorkday]]-1)</f>
        <v>0</v>
      </c>
      <c r="DZ36" s="42" t="n">
        <f aca="false">Tasks[[#This Row],[_Res3Work]]*Tasks[[#This Row],[_LeafProgress]]</f>
        <v>0</v>
      </c>
      <c r="EA36" s="42" t="str">
        <f aca="false">IF(Tasks[[#This Row],[_Res4Text]]="","",IF(Tasks[[#This Row],[_Res4Row]]&gt;0,INDEX(res_Name,Tasks[[#This Row],[_Res4Row]]),TRIM(LEFT(Tasks[[#This Row],[_Res4Text]],FIND("[",Tasks[[#This Row],[_Res4Text]]&amp;"[")-1))))</f>
        <v/>
      </c>
      <c r="EB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6" s="42" t="n">
        <f aca="false">IF(OR(NOT(Tasks[[#This Row],[_IsLeaf]]=1),Tasks[[#This Row],[_Res4Row]]=0),0,N(Tasks[[#This Row],[_Days]])*HoursPerDay*IF(Tasks[[#This Row],[_Res4Units]]="",DefaultUnits,Tasks[[#This Row],[_Res4Units]]))</f>
        <v>0</v>
      </c>
      <c r="ED36" s="42" t="n">
        <f aca="false">IF(AND(AND(Tasks[[#This Row],[_IsLeaf]]=1,Tasks[[#This Row],[_LeafTotalWork]]&gt;0),Tasks[[#This Row],[_Res4Work]]&gt;0),Tasks[[#This Row],[_Res4Work]]/(Tasks[[#This Row],[_FinishWorkday]]-Tasks[[#This Row],[_StartWorkday]]+1),0)</f>
        <v>0</v>
      </c>
      <c r="EE36" s="42" t="n">
        <f aca="false">Tasks[[#This Row],[_Res4WorkPerWD]]*MAX(0,Tasks[[#This Row],[_StartWorkday]]-1)</f>
        <v>0</v>
      </c>
      <c r="EF36" s="42" t="n">
        <f aca="false">Tasks[[#This Row],[_Res4Work]]*Tasks[[#This Row],[_LeafProgress]]</f>
        <v>0</v>
      </c>
      <c r="EG36" s="42" t="n">
        <f aca="false">IF(ISNUMBER(Tasks[[#This Row],[% Complete]]),Tasks[[#This Row],[% Complete]],IF(Tasks[[#This Row],[Stage]]="",0,IFERROR(INDEX(stg_Pct,MATCH(Tasks[[#This Row],[Stage]],stg_Name,0)),0)))</f>
        <v>0</v>
      </c>
      <c r="EH36" s="42" t="n">
        <f aca="false">IF(NOT(Tasks[[#This Row],[_IsLeaf]]=1),0,IF(N(Tasks[[#This Row],[Actual Finish]])&gt;0,1,MIN(1,Tasks[[#This Row],[_Pct]])))</f>
        <v>0</v>
      </c>
      <c r="EI36" s="42" t="n">
        <f aca="false">IF(OR(NOT(Tasks[[#This Row],[_IsLeaf]]=1),Tasks[[#This Row],[_Res1Row]]=0),0,N(Tasks[[#This Row],[_Days]])*HoursPerDay*IF(Tasks[[#This Row],[_Units1]]="",DefaultUnits,Tasks[[#This Row],[_Units1]]))</f>
        <v>0</v>
      </c>
      <c r="EJ36" s="42" t="n">
        <f aca="false">Tasks[[#This Row],[_LeafWork]]+Tasks[[#This Row],[_Res2Work]]+Tasks[[#This Row],[_Res3Work]]+Tasks[[#This Row],[_Res4Work]]</f>
        <v>0</v>
      </c>
      <c r="EK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6" s="42" t="n">
        <f aca="false">IF(NOT(Tasks[[#This Row],[_IsLeaf]]=1),0,MAX(_xlfn.MAXIFS(Tasks[_Row],Tasks[_Pred1UID],Tasks[[#This Row],[UID]]),_xlfn.MAXIFS(Tasks[_Row],Tasks[_Pred2UID],Tasks[[#This Row],[UID]]),_xlfn.MAXIFS(Tasks[_Row],Tasks[_Pred3UID],Tasks[[#This Row],[UID]]),_xlfn.MAXIFS(Tasks[_Row],Tasks[_Pred4UID],Tasks[[#This Row],[UID]])))</f>
        <v>0</v>
      </c>
      <c r="ET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6" s="89" t="str">
        <f aca="false">IF(NOT(Tasks[[#This Row],[_IsLeaf]]=1),"",IF(N(Tasks[[#This Row],[_Days]])&lt;=0,Tasks[[#This Row],[_LeafLateFinish]],WORKDAY.INTL(Tasks[[#This Row],[_LeafLateFinish]],-(Tasks[[#This Row],[_Days]]-1),WorkWeek,Holidays)))</f>
        <v/>
      </c>
      <c r="EW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6" s="88" t="b">
        <f aca="false">AND(Tasks[[#This Row],[_IsLeaf]]=1,Tasks[[#This Row],[_LeafProgress]]&lt;1,N(Tasks[[#This Row],[_LeafTotalSlack]])&lt;=CriticalSlackDays)</f>
        <v>0</v>
      </c>
      <c r="EY36" s="42" t="n">
        <f aca="false">IF(AND(Tasks[[#This Row],[_IsLeaf]]=1,Tasks[[#This Row],[_ConstraintCode]]=1,Tasks[[#This Row],[Mode]]&lt;&gt;"Manual",N(Tasks[[#This Row],[Actual Start]])=0),MAX(0,N(Tasks[[#This Row],[Free Slack]])),0)</f>
        <v>0</v>
      </c>
      <c r="EZ36" s="89" t="str">
        <f aca="false">IF(NOT(Tasks[[#This Row],[_IsLeaf]]=1),"",IF(Tasks[[#This Row],[_AlapShift]]=0,Tasks[[#This Row],[_LeafCalcStart]],WORKDAY.INTL(Tasks[[#This Row],[_LeafCalcStart]],Tasks[[#This Row],[_AlapShift]],WorkWeek,Holidays)))</f>
        <v/>
      </c>
      <c r="FA36" s="89" t="str">
        <f aca="false">IF(NOT(Tasks[[#This Row],[_IsLeaf]]=1),"",IF(Tasks[[#This Row],[_AlapShift]]=0,Tasks[[#This Row],[_LeafCalcFinish]],WORKDAY.INTL(Tasks[[#This Row],[_LeafCalcFinish]],Tasks[[#This Row],[_AlapShift]],WorkWeek,Holidays)))</f>
        <v/>
      </c>
      <c r="FB36" s="89" t="str">
        <f aca="false">IF(NOT(Tasks[[#This Row],[_IsLeaf]]=1),"",IF(Tasks[[#This Row],[_AlapShift]]=0,Tasks[[#This Row],[_LeafFcstStart]],WORKDAY.INTL(Tasks[[#This Row],[_LeafFcstStart]],Tasks[[#This Row],[_AlapShift]],WorkWeek,Holidays)))</f>
        <v/>
      </c>
      <c r="FC36" s="89" t="str">
        <f aca="false">IF(NOT(Tasks[[#This Row],[_IsLeaf]]=1),"",IF(Tasks[[#This Row],[_AlapShift]]=0,Tasks[[#This Row],[_LeafFcstFinish]],WORKDAY.INTL(Tasks[[#This Row],[_LeafFcstFinish]],Tasks[[#This Row],[_AlapShift]],WorkWeek,Holidays)))</f>
        <v/>
      </c>
      <c r="FD36" s="89" t="str">
        <f aca="false">IF(Tasks[[#This Row],[Task Name]]="","",IF(Tasks[[#This Row],[_IsSummary]],MIN(INDEX(Tasks[_ShownCalcStart],Tasks[[#This Row],[_Row]]+1):INDEX(Tasks[_ShownCalcStart],Tasks[[#This Row],[_Row]]+Tasks[[#This Row],[_Descendants]])),Tasks[[#This Row],[_ShownCalcStart]]))</f>
        <v/>
      </c>
      <c r="FE36" s="89" t="str">
        <f aca="false">IF(Tasks[[#This Row],[Task Name]]="","",IF(Tasks[[#This Row],[_IsSummary]],MAX(INDEX(Tasks[_ShownCalcFinish],Tasks[[#This Row],[_Row]]+1):INDEX(Tasks[_ShownCalcFinish],Tasks[[#This Row],[_Row]]+Tasks[[#This Row],[_Descendants]])),Tasks[[#This Row],[_ShownCalcFinish]]))</f>
        <v/>
      </c>
      <c r="FF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6" s="42" t="n">
        <f aca="false">IF(AND(Tasks[[#This Row],[_IsLeaf]]=1,Tasks[[#This Row],[_LeafTotalWork]]&gt;0),NETWORKDAYS.INTL(ProjectStart,Tasks[[#This Row],[_ShownFcstStart]],WorkWeek,Holidays),0)</f>
        <v>0</v>
      </c>
      <c r="FS36" s="42" t="n">
        <f aca="false">IF(AND(Tasks[[#This Row],[_IsLeaf]]=1,Tasks[[#This Row],[_LeafTotalWork]]&gt;0),MAX(Tasks[[#This Row],[_StartWorkday]],NETWORKDAYS.INTL(ProjectStart,Tasks[[#This Row],[_ShownFcstFinish]],WorkWeek,Holidays)),0)</f>
        <v>0</v>
      </c>
      <c r="FT36" s="42" t="n">
        <f aca="false">IF(AND(Tasks[[#This Row],[_IsLeaf]]=1,Tasks[[#This Row],[_LeafTotalWork]]&gt;0),Tasks[[#This Row],[_LeafWork]]/(Tasks[[#This Row],[_FinishWorkday]]-Tasks[[#This Row],[_StartWorkday]]+1),0)</f>
        <v>0</v>
      </c>
      <c r="FU36" s="42" t="n">
        <f aca="false">Tasks[[#This Row],[_WorkPerWorkday]]*(Tasks[[#This Row],[_StartWorkday]]-1)</f>
        <v>-0</v>
      </c>
      <c r="FV36" s="42" t="n">
        <f aca="false">IF(Tasks[[#This Row],[_IsLeaf]]=1,MAX(N(Tasks[[#This Row],[_Days]]),0.1),0)</f>
        <v>0</v>
      </c>
      <c r="FW36" s="42" t="n">
        <f aca="false">Tasks[[#This Row],[_WeightDur]]*Tasks[[#This Row],[_LeafProgress]]</f>
        <v>0</v>
      </c>
      <c r="FX36" s="42" t="n">
        <f aca="false">Tasks[[#This Row],[_WeightDur]]*Tasks[[#This Row],[_PlannedPct]]</f>
        <v>0</v>
      </c>
      <c r="FY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6" s="42" t="str">
        <f aca="false">IF(AND(Tasks[[#This Row],[_IsLeaf]]=1,N(Tasks[[#This Row],[_Days]])=0,Tasks[[#This Row],[_LeafProgress]]&lt;1),Tasks[[#This Row],[_ShownFcstFinish]]+Tasks[[#This Row],[_Row]]/100000,"")</f>
        <v/>
      </c>
      <c r="GA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6" s="42" t="str">
        <f aca="false">IF(Tasks[[#This Row],[Task Name]]="","",LEFT(Tasks[[#This Row],[WBS]],FIND(".",Tasks[[#This Row],[WBS]]&amp;".")-1))</f>
        <v/>
      </c>
      <c r="GC36" s="42" t="str">
        <f aca="false">IF(AND(Tasks[[#This Row],[Task Name]]&lt;&gt;"",Tasks[[#This Row],[_Level]]=1),Tasks[[#This Row],[_Row]],"")</f>
        <v/>
      </c>
      <c r="GD36" s="42" t="str">
        <f aca="false">IF(AND(Tasks[[#This Row],[_IsLeaf]]=1,N(Tasks[[#This Row],[_Days]])=0),Tasks[[#This Row],[Planned Finish]]+Tasks[[#This Row],[_Row]]/100000,"")</f>
        <v/>
      </c>
      <c r="GE36" s="42" t="str">
        <f aca="false">IF(AND(Tasks[[#This Row],[_IsLeaf]]=1,Tasks[[#This Row],[_LeafProgress]]&lt;1,OR(N(Tasks[[#This Row],[Finish Var]])&gt;0,Tasks[[#This Row],[Status]]="Late Start")),MAX(0,Tasks[[#This Row],[Finish Var]])+1-Tasks[[#This Row],[_Row]]/1000000,"")</f>
        <v/>
      </c>
      <c r="GF36" s="42" t="str">
        <f aca="false">IF(AND(Tasks[[#This Row],[_IsLeaf]]=1,N(Tasks[[#This Row],[Actual Start]])=0,Tasks[[#This Row],[_ShownFcstStart]]&gt;=StatusDate,Tasks[[#This Row],[_ShownFcstStart]]&lt;=LookaheadEnd),Tasks[[#This Row],[_ShownFcstStart]]+Tasks[[#This Row],[_Row]]/100000,"")</f>
        <v/>
      </c>
      <c r="GG36" s="42" t="str">
        <f aca="false">IF(AND(Tasks[[#This Row],[_IsLeaf]]=1,Tasks[[#This Row],[_LeafProgress]]&lt;1,Tasks[[#This Row],[_ShownFcstFinish]]&gt;=StatusDate,Tasks[[#This Row],[_ShownFcstFinish]]&lt;=LookaheadEnd),Tasks[[#This Row],[_ShownFcstFinish]]+Tasks[[#This Row],[_Row]]/100000,"")</f>
        <v/>
      </c>
      <c r="GH36" s="42" t="str">
        <f aca="false">IF(Tasks[[#This Row],[_LeafCritical]],Tasks[[#This Row],[_ShownFcstStart]]+Tasks[[#This Row],[_Row]]/100000,"")</f>
        <v/>
      </c>
      <c r="GI36" s="42" t="n">
        <f aca="false">Tasks[[#This Row],[_LeafWork]]*Tasks[[#This Row],[_LeafProgress]]</f>
        <v>0</v>
      </c>
      <c r="GJ36" s="89" t="str">
        <f aca="false">IF(AND(Tasks[[#This Row],[_IsLeaf]]=1,Tasks[[#This Row],[_LeafProgress]]&gt;=1),IF(N(Tasks[[#This Row],[Actual Finish]])&gt;0,Tasks[[#This Row],[Actual Finish]],Tasks[[#This Row],[_ShownFcstFinish]]),"")</f>
        <v/>
      </c>
      <c r="GK36" s="42" t="n">
        <f aca="false">IF(Tasks[[#This Row],[_IsLeaf]]=1,N(Tasks[[#This Row],[Story Points]]),0)</f>
        <v>0</v>
      </c>
      <c r="GL36" s="42" t="str">
        <f aca="false">""</f>
        <v/>
      </c>
      <c r="GM36" s="88" t="b">
        <f aca="false">IF(Tasks[[#This Row],[Task Name]]="",FALSE(),AND(Tasks[[#This Row],[_IsLeaf]]=1,N(Tasks[[#This Row],[_Days]])=0))</f>
        <v>0</v>
      </c>
      <c r="GN36" s="89" t="n">
        <f aca="false">IF(Tasks[[#This Row],[Task Name]]="",0,IF(AND(Tasks[[#This Row],[_IsLeaf]]=1,NOT(Tasks[[#This Row],[_IsMilestone]]),N(Tasks[[#This Row],[Progress]])&gt;0),Tasks[[#This Row],[Start]],0))</f>
        <v>0</v>
      </c>
      <c r="GO36" s="89" t="n">
        <f aca="false">IF(Tasks[[#This Row],[_DoneFrom]]=0,0,IF(Tasks[[#This Row],[Progress]]&gt;=1,Tasks[[#This Row],[Finish]],MAX(Tasks[[#This Row],[_DoneFrom]],Tasks[[#This Row],[Start]]+ROUND((Tasks[[#This Row],[Finish]]-Tasks[[#This Row],[Start]]+1)*Tasks[[#This Row],[Progress]],0)-1)))</f>
        <v>0</v>
      </c>
      <c r="GP36" s="89" t="n">
        <f aca="false">IF(Tasks[[#This Row],[Task Name]]="",0,IF(OR(NOT(Tasks[[#This Row],[_IsLeaf]]=1),Tasks[[#This Row],[_IsMilestone]],N(Tasks[[#This Row],[Progress]])&gt;=1),0,IF(Tasks[[#This Row],[_DoneTo]]&gt;0,Tasks[[#This Row],[_DoneTo]]+1,Tasks[[#This Row],[Start]])))</f>
        <v>0</v>
      </c>
      <c r="GQ36" s="89" t="n">
        <f aca="false">IF(Tasks[[#This Row],[_RemFrom]]=0,0,Tasks[[#This Row],[Finish]])</f>
        <v>0</v>
      </c>
      <c r="GR36" s="88" t="b">
        <f aca="false">IF(Tasks[[#This Row],[Task Name]]="",FALSE(),OR(NOT(BaselineSet),N(Tasks[[#This Row],[Baseline Start]])&gt;0))</f>
        <v>0</v>
      </c>
      <c r="GS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6" s="90" t="str">
        <f aca="false">IF(Tasks[[#This Row],[_IsLeaf]]=1,Tasks[[#This Row],[_Row]],"")</f>
        <v/>
      </c>
      <c r="GW36" s="90" t="str">
        <f aca="false">IFERROR(INDEX(Tasks[UID],SMALL(Tasks[_PickKey],Tasks[[#This Row],[_Row]]))&amp;" "&amp;INDEX(Tasks[Task Name],SMALL(Tasks[_PickKey],Tasks[[#This Row],[_Row]])),"")</f>
        <v/>
      </c>
      <c r="GX36" s="42" t="str">
        <f aca="false">IF(Tasks[[#This Row],[Task Name]]="","",IF(Tasks[[#This Row],[_IsSummary]],NETWORKDAYS.INTL(Tasks[[#This Row],[Start]],Tasks[[#This Row],[Finish]],WorkWeek,Holidays),N(Tasks[[#This Row],[_Days]])))</f>
        <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3"/>
      <c r="U37" s="23"/>
      <c r="V37" s="83"/>
      <c r="W37" s="23"/>
      <c r="X37" s="83"/>
      <c r="Y37" s="23"/>
      <c r="Z37" s="83"/>
      <c r="AA37" s="23"/>
      <c r="AB37" s="23"/>
      <c r="AC37" s="7"/>
      <c r="AD37" s="7"/>
      <c r="AE37" s="62" t="str">
        <f aca="false">IF(Tasks[[#This Row],[Task Name]]="","",IF(Tasks[[#This Row],[_IsSummary]],MIN(INDEX(Tasks[_ShownFcstStart],Tasks[[#This Row],[_Row]]+1):INDEX(Tasks[_ShownFcstStart],Tasks[[#This Row],[_Row]]+Tasks[[#This Row],[_Descendants]])),Tasks[[#This Row],[_ShownFcstStart]]))</f>
        <v/>
      </c>
      <c r="AF37" s="62"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7" s="7"/>
      <c r="AK37" s="22"/>
      <c r="AL37" s="23"/>
      <c r="AM37" s="7"/>
      <c r="AN37" s="46"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2" t="str">
        <f aca="false">IF(Tasks[[#This Row],[Task Name]]="","",IF(N(Tasks[[#This Row],[Baseline Start]])&gt;0,Tasks[[#This Row],[Baseline Start]],Tasks[[#This Row],[_CalcStart]]))</f>
        <v/>
      </c>
      <c r="AR37" s="62" t="str">
        <f aca="false">IF(Tasks[[#This Row],[Task Name]]="","",IF(N(Tasks[[#This Row],[Baseline Finish]])&gt;0,Tasks[[#This Row],[Baseline Finish]],Tasks[[#This Row],[_CalcFinish]]))</f>
        <v/>
      </c>
      <c r="AS37" s="46" t="str">
        <f aca="false">IF(Tasks[[#This Row],[Task Name]]="","",IF(Tasks[[#This Row],[Start]]&gt;=Tasks[[#This Row],[Planned Start]],NETWORKDAYS.INTL(Tasks[[#This Row],[Planned Start]],Tasks[[#This Row],[Start]],WorkWeek,Holidays)-1,1-NETWORKDAYS.INTL(Tasks[[#This Row],[Start]],Tasks[[#This Row],[Planned Start]],WorkWeek,Holidays)))</f>
        <v/>
      </c>
      <c r="AT37" s="62" t="str">
        <f aca="false">IF(Tasks[[#This Row],[Task Name]]="","",IF(Tasks[[#This Row],[_IsSummary]],MIN(INDEX(Tasks[_LeafLateStart],Tasks[[#This Row],[_Row]]+1):INDEX(Tasks[_LeafLateStart],Tasks[[#This Row],[_Row]]+Tasks[[#This Row],[_Descendants]])),Tasks[[#This Row],[_LeafLateStart]]))</f>
        <v/>
      </c>
      <c r="AU37" s="62" t="str">
        <f aca="false">IF(Tasks[[#This Row],[Task Name]]="","",IF(Tasks[[#This Row],[_IsSummary]],MAX(INDEX(Tasks[_LeafLateFinish],Tasks[[#This Row],[_Row]]+1):INDEX(Tasks[_LeafLateFinish],Tasks[[#This Row],[_Row]]+Tasks[[#This Row],[_Descendants]])),Tasks[[#This Row],[_LeafLateFinish]]))</f>
        <v/>
      </c>
      <c r="AV37" s="46"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4"/>
      <c r="BA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5"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6"/>
      <c r="BJ37" s="22"/>
      <c r="BK37" s="46" t="str">
        <f aca="false">IF(OR(Tasks[[#This Row],[Task Name]]="",Tasks[[#This Row],[Baseline Duration]]=""),"",Tasks[[#This Row],[_SpanDays]]-N(Tasks[[#This Row],[Baseline Duration]]))</f>
        <v/>
      </c>
      <c r="BL37" s="85" t="str">
        <f aca="false">IF(OR(Tasks[[#This Row],[Task Name]]="",Tasks[[#This Row],[Baseline Work]]=""),"",Tasks[[#This Row],[Work]]-N(Tasks[[#This Row],[Baseline Work]]))</f>
        <v/>
      </c>
      <c r="BM37" s="62" t="str">
        <f aca="false">IF(Tasks[[#This Row],[Task Name]]="","",IF(OR(TakeBaseline="Yes",N(Tasks[[#This Row],[Baseline Start]])=0),Tasks[[#This Row],[Start]],Tasks[[#This Row],[Baseline Start]]))</f>
        <v/>
      </c>
      <c r="BN37" s="62"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5" t="str">
        <f aca="false">IF(Tasks[[#This Row],[Task Name]]="","",IF(OR(TakeBaseline="Yes",N(Tasks[[#This Row],[Baseline Work]])=0),Tasks[[#This Row],[Work]],Tasks[[#This Row],[Baseline Work]]))</f>
        <v/>
      </c>
      <c r="BQ37" s="7"/>
      <c r="BR37" s="7"/>
      <c r="BS37" s="22"/>
      <c r="BT37" s="87"/>
      <c r="BU37" s="42" t="str">
        <f aca="false">IF(Tasks[[#This Row],[Task Name]]="","",MAX(1,N(Tasks[[#This Row],[Level]])))</f>
        <v/>
      </c>
      <c r="BV37" s="42" t="n">
        <f aca="false">ROW()-ROW(Tasks[[#Headers],[ID]])</f>
        <v>32</v>
      </c>
      <c r="BW37" s="42" t="n">
        <f aca="false">IF(OR(Tasks[[#This Row],[Task Name]]="",Tasks[[#This Row],[_Level]]&lt;=1),0,IFERROR(LOOKUP(2,1/(Tasks[[#Headers],[_Level]]:Tasks[[#This Row],[_Level]]=Tasks[[#This Row],[_Level]]-1),ROW(Tasks[[#Headers],[_Level]]:Tasks[[#This Row],[_Level]])),0))</f>
        <v>0</v>
      </c>
      <c r="BX37" s="42" t="n">
        <f aca="false">IFERROR(N(INDEX(Tasks[_Level],Tasks[[#This Row],[_Row]]+1)),0)</f>
        <v>0</v>
      </c>
      <c r="BY37" s="88" t="b">
        <f aca="false">AND(Tasks[[#This Row],[Task Name]]&lt;&gt;"",Tasks[[#This Row],[_NextLevel]]&gt;Tasks[[#This Row],[_Level]])</f>
        <v>0</v>
      </c>
      <c r="BZ37" s="42" t="n">
        <f aca="false">IF(Tasks[[#This Row],[_IsSummary]],COUNTIF(Tasks[WBS],Tasks[[#This Row],[WBS]]&amp;".*"),0)</f>
        <v>0</v>
      </c>
      <c r="CA37" s="42" t="n">
        <f aca="false">IF(AND(Tasks[[#This Row],[Task Name]]&lt;&gt;"",NOT(Tasks[[#This Row],[_IsSummary]])),1,0)</f>
        <v>0</v>
      </c>
      <c r="CB37" s="42" t="n">
        <f aca="false">IF(N(Tasks[[#This Row],[_Pred1UID]])=0,0,IFERROR(MATCH(Tasks[[#This Row],[_Pred1UID]],Tasks[UID],0),-1))</f>
        <v>0</v>
      </c>
      <c r="CC37" s="42" t="n">
        <f aca="false">IF(N(Tasks[[#This Row],[_Pred2UID]])=0,0,IFERROR(MATCH(Tasks[[#This Row],[_Pred2UID]],Tasks[UID],0),-1))</f>
        <v>0</v>
      </c>
      <c r="CD37" s="42" t="n">
        <f aca="false">IF(N(Tasks[[#This Row],[_Pred3UID]])=0,0,IFERROR(MATCH(Tasks[[#This Row],[_Pred3UID]],Tasks[UID],0),-1))</f>
        <v>0</v>
      </c>
      <c r="CE37" s="42" t="n">
        <f aca="false">IF(N(Tasks[[#This Row],[_Pred4UID]])=0,0,IFERROR(MATCH(Tasks[[#This Row],[_Pred4UID]],Tasks[UID],0),-1))</f>
        <v>0</v>
      </c>
      <c r="CF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7" s="89" t="n">
        <f aca="false">IF(OR(Tasks[[#This Row],[_ConstraintCode]]=2,Tasks[[#This Row],[_ConstraintCode]]=3,Tasks[[#This Row],[_ConstraintCode]]=4,Tasks[[#This Row],[_ConstraintCode]]=6),Tasks[[#This Row],[_ConstraintStart]],0)</f>
        <v>0</v>
      </c>
      <c r="CI37" s="89" t="n">
        <f aca="false">IF(OR(Tasks[[#This Row],[_ConstraintCode]]=2,Tasks[[#This Row],[_ConstraintCode]]=3,Tasks[[#This Row],[_ConstraintCode]]=5,Tasks[[#This Row],[_ConstraintCode]]=7),Tasks[[#This Row],[_ConstraintStart]],2958465)</f>
        <v>2958465</v>
      </c>
      <c r="CJ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7" s="89" t="str">
        <f aca="false">IF(NOT(Tasks[[#This Row],[_IsLeaf]]=1),"",IF(N(Tasks[[#This Row],[_Days]])&lt;=0,Tasks[[#This Row],[_LeafCalcStart]],WORKDAY.INTL(Tasks[[#This Row],[_LeafCalcStart]],Tasks[[#This Row],[_Days]]-1,WorkWeek,Holidays)))</f>
        <v/>
      </c>
      <c r="CL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7" s="42" t="str">
        <f aca="false">IF(Tasks[[#This Row],[_Predecessors]]="","",TRIM(MID(SUBSTITUTE(SUBSTITUTE(SUBSTITUTE(UPPER(Tasks[[#This Row],[_Predecessors]]),";",",")," ",""),",",REPT(" ",99)),1,99)))</f>
        <v/>
      </c>
      <c r="CO37" s="42" t="str">
        <f aca="false">IF(Tasks[[#This Row],[_Pred1Text]]="","",IFERROR(VALUE(LEFT(Tasks[[#This Row],[_Pred1Text]],MIN(FIND("F",Tasks[[#This Row],[_Pred1Text]]&amp;"F"),FIND("S",Tasks[[#This Row],[_Pred1Text]]&amp;"S"),FIND("+",Tasks[[#This Row],[_Pred1Text]]&amp;"+"),FIND("-",Tasks[[#This Row],[_Pred1Text]]&amp;"-"))-1)),""))</f>
        <v/>
      </c>
      <c r="CP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7" s="42" t="str">
        <f aca="false">IF(Tasks[[#This Row],[_Pred1Text]]="","",TRIM(MID(SUBSTITUTE(SUBSTITUTE(SUBSTITUTE(UPPER(Tasks[[#This Row],[_Predecessors]]),";",",")," ",""),",",REPT(" ",99)),100,99)))</f>
        <v/>
      </c>
      <c r="CS37" s="42" t="str">
        <f aca="false">IF(Tasks[[#This Row],[_Pred2Text]]="","",IFERROR(VALUE(LEFT(Tasks[[#This Row],[_Pred2Text]],MIN(FIND("F",Tasks[[#This Row],[_Pred2Text]]&amp;"F"),FIND("S",Tasks[[#This Row],[_Pred2Text]]&amp;"S"),FIND("+",Tasks[[#This Row],[_Pred2Text]]&amp;"+"),FIND("-",Tasks[[#This Row],[_Pred2Text]]&amp;"-"))-1)),""))</f>
        <v/>
      </c>
      <c r="CT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7" s="42" t="str">
        <f aca="false">IF(Tasks[[#This Row],[_Pred2Text]]="","",TRIM(MID(SUBSTITUTE(SUBSTITUTE(SUBSTITUTE(UPPER(Tasks[[#This Row],[_Predecessors]]),";",",")," ",""),",",REPT(" ",99)),199,99)))</f>
        <v/>
      </c>
      <c r="CW37" s="42" t="str">
        <f aca="false">IF(Tasks[[#This Row],[_Pred3Text]]="","",IFERROR(VALUE(LEFT(Tasks[[#This Row],[_Pred3Text]],MIN(FIND("F",Tasks[[#This Row],[_Pred3Text]]&amp;"F"),FIND("S",Tasks[[#This Row],[_Pred3Text]]&amp;"S"),FIND("+",Tasks[[#This Row],[_Pred3Text]]&amp;"+"),FIND("-",Tasks[[#This Row],[_Pred3Text]]&amp;"-"))-1)),""))</f>
        <v/>
      </c>
      <c r="CX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7" s="42" t="str">
        <f aca="false">IF(Tasks[[#This Row],[_Pred3Text]]="","",TRIM(MID(SUBSTITUTE(SUBSTITUTE(SUBSTITUTE(UPPER(Tasks[[#This Row],[_Predecessors]]),";",",")," ",""),",",REPT(" ",99)),298,99)))</f>
        <v/>
      </c>
      <c r="DA37" s="42" t="str">
        <f aca="false">IF(Tasks[[#This Row],[_Pred4Text]]="","",IFERROR(VALUE(LEFT(Tasks[[#This Row],[_Pred4Text]],MIN(FIND("F",Tasks[[#This Row],[_Pred4Text]]&amp;"F"),FIND("S",Tasks[[#This Row],[_Pred4Text]]&amp;"S"),FIND("+",Tasks[[#This Row],[_Pred4Text]]&amp;"+"),FIND("-",Tasks[[#This Row],[_Pred4Text]]&amp;"-"))-1)),""))</f>
        <v/>
      </c>
      <c r="DB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7" s="42" t="str">
        <f aca="false">IF(OR(Tasks[[#This Row],[Task Name]]="",Tasks[[#This Row],[_Resources]]=""),"",TRIM(MID(SUBSTITUTE(Tasks[[#This Row],[_Resources]],",",REPT(" ",99)),1,99)))</f>
        <v/>
      </c>
      <c r="DE37" s="42" t="str">
        <f aca="false">IF(Tasks[[#This Row],[_Res1Text]]="","",TRIM(MID(SUBSTITUTE(Tasks[[#This Row],[_Resources]],",",REPT(" ",99)),100,99)))</f>
        <v/>
      </c>
      <c r="DF37" s="42" t="str">
        <f aca="false">IF(Tasks[[#This Row],[_Res2Text]]="","",TRIM(MID(SUBSTITUTE(Tasks[[#This Row],[_Resources]],",",REPT(" ",99)),199,99)))</f>
        <v/>
      </c>
      <c r="DG37" s="42" t="str">
        <f aca="false">IF(Tasks[[#This Row],[_Res3Text]]="","",TRIM(MID(SUBSTITUTE(Tasks[[#This Row],[_Resources]],",",REPT(" ",99)),298,99)))</f>
        <v/>
      </c>
      <c r="DH37" s="42" t="n">
        <f aca="false">IF(Tasks[[#This Row],[_Res1Text]]="",0,IFERROR(MATCH(TRIM(LEFT(Tasks[[#This Row],[_Res1Text]],FIND("[",Tasks[[#This Row],[_Res1Text]]&amp;"[")-1)),res_Name,0),IFERROR(MATCH(TRIM(LEFT(Tasks[[#This Row],[_Res1Text]],FIND("[",Tasks[[#This Row],[_Res1Text]]&amp;"[")-1)),res_Initials,0),0)))</f>
        <v>0</v>
      </c>
      <c r="DI37" s="42" t="n">
        <f aca="false">IF(Tasks[[#This Row],[_Res2Text]]="",0,IFERROR(MATCH(TRIM(LEFT(Tasks[[#This Row],[_Res2Text]],FIND("[",Tasks[[#This Row],[_Res2Text]]&amp;"[")-1)),res_Name,0),IFERROR(MATCH(TRIM(LEFT(Tasks[[#This Row],[_Res2Text]],FIND("[",Tasks[[#This Row],[_Res2Text]]&amp;"[")-1)),res_Initials,0),0)))</f>
        <v>0</v>
      </c>
      <c r="DJ37" s="42" t="n">
        <f aca="false">IF(Tasks[[#This Row],[_Res3Text]]="",0,IFERROR(MATCH(TRIM(LEFT(Tasks[[#This Row],[_Res3Text]],FIND("[",Tasks[[#This Row],[_Res3Text]]&amp;"[")-1)),res_Name,0),IFERROR(MATCH(TRIM(LEFT(Tasks[[#This Row],[_Res3Text]],FIND("[",Tasks[[#This Row],[_Res3Text]]&amp;"[")-1)),res_Initials,0),0)))</f>
        <v>0</v>
      </c>
      <c r="DK37" s="42" t="n">
        <f aca="false">IF(Tasks[[#This Row],[_Res4Text]]="",0,IFERROR(MATCH(TRIM(LEFT(Tasks[[#This Row],[_Res4Text]],FIND("[",Tasks[[#This Row],[_Res4Text]]&amp;"[")-1)),res_Name,0),IFERROR(MATCH(TRIM(LEFT(Tasks[[#This Row],[_Res4Text]],FIND("[",Tasks[[#This Row],[_Res4Text]]&amp;"[")-1)),res_Initials,0),0)))</f>
        <v>0</v>
      </c>
      <c r="DL37" s="42" t="str">
        <f aca="false">IF(Tasks[[#This Row],[_Res1Text]]="","",IF(Tasks[[#This Row],[_Res1Row]]&gt;0,INDEX(res_Name,Tasks[[#This Row],[_Res1Row]]),TRIM(LEFT(Tasks[[#This Row],[_Res1Text]],FIND("[",Tasks[[#This Row],[_Res1Text]]&amp;"[")-1))))</f>
        <v/>
      </c>
      <c r="DM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7" s="42" t="n">
        <f aca="false">IF(NOT(Tasks[[#This Row],[_IsLeaf]]=1),0,(Tasks[[#This Row],[_Resource1]]&lt;&gt;"")+(Tasks[[#This Row],[_Res2]]&lt;&gt;"")+(Tasks[[#This Row],[_Res3]]&lt;&gt;"")+(Tasks[[#This Row],[_Res4]]&lt;&gt;""))</f>
        <v>0</v>
      </c>
      <c r="DO37" s="42" t="str">
        <f aca="false">IF(Tasks[[#This Row],[_Res2Text]]="","",IF(Tasks[[#This Row],[_Res2Row]]&gt;0,INDEX(res_Name,Tasks[[#This Row],[_Res2Row]]),TRIM(LEFT(Tasks[[#This Row],[_Res2Text]],FIND("[",Tasks[[#This Row],[_Res2Text]]&amp;"[")-1))))</f>
        <v/>
      </c>
      <c r="DP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7" s="42" t="n">
        <f aca="false">IF(OR(NOT(Tasks[[#This Row],[_IsLeaf]]=1),Tasks[[#This Row],[_Res2Row]]=0),0,N(Tasks[[#This Row],[_Days]])*HoursPerDay*IF(Tasks[[#This Row],[_Res2Units]]="",DefaultUnits,Tasks[[#This Row],[_Res2Units]]))</f>
        <v>0</v>
      </c>
      <c r="DR37" s="42" t="n">
        <f aca="false">IF(AND(AND(Tasks[[#This Row],[_IsLeaf]]=1,Tasks[[#This Row],[_LeafTotalWork]]&gt;0),Tasks[[#This Row],[_Res2Work]]&gt;0),Tasks[[#This Row],[_Res2Work]]/(Tasks[[#This Row],[_FinishWorkday]]-Tasks[[#This Row],[_StartWorkday]]+1),0)</f>
        <v>0</v>
      </c>
      <c r="DS37" s="42" t="n">
        <f aca="false">Tasks[[#This Row],[_Res2WorkPerWD]]*MAX(0,Tasks[[#This Row],[_StartWorkday]]-1)</f>
        <v>0</v>
      </c>
      <c r="DT37" s="42" t="n">
        <f aca="false">Tasks[[#This Row],[_Res2Work]]*Tasks[[#This Row],[_LeafProgress]]</f>
        <v>0</v>
      </c>
      <c r="DU37" s="42" t="str">
        <f aca="false">IF(Tasks[[#This Row],[_Res3Text]]="","",IF(Tasks[[#This Row],[_Res3Row]]&gt;0,INDEX(res_Name,Tasks[[#This Row],[_Res3Row]]),TRIM(LEFT(Tasks[[#This Row],[_Res3Text]],FIND("[",Tasks[[#This Row],[_Res3Text]]&amp;"[")-1))))</f>
        <v/>
      </c>
      <c r="DV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7" s="42" t="n">
        <f aca="false">IF(OR(NOT(Tasks[[#This Row],[_IsLeaf]]=1),Tasks[[#This Row],[_Res3Row]]=0),0,N(Tasks[[#This Row],[_Days]])*HoursPerDay*IF(Tasks[[#This Row],[_Res3Units]]="",DefaultUnits,Tasks[[#This Row],[_Res3Units]]))</f>
        <v>0</v>
      </c>
      <c r="DX37" s="42" t="n">
        <f aca="false">IF(AND(AND(Tasks[[#This Row],[_IsLeaf]]=1,Tasks[[#This Row],[_LeafTotalWork]]&gt;0),Tasks[[#This Row],[_Res3Work]]&gt;0),Tasks[[#This Row],[_Res3Work]]/(Tasks[[#This Row],[_FinishWorkday]]-Tasks[[#This Row],[_StartWorkday]]+1),0)</f>
        <v>0</v>
      </c>
      <c r="DY37" s="42" t="n">
        <f aca="false">Tasks[[#This Row],[_Res3WorkPerWD]]*MAX(0,Tasks[[#This Row],[_StartWorkday]]-1)</f>
        <v>0</v>
      </c>
      <c r="DZ37" s="42" t="n">
        <f aca="false">Tasks[[#This Row],[_Res3Work]]*Tasks[[#This Row],[_LeafProgress]]</f>
        <v>0</v>
      </c>
      <c r="EA37" s="42" t="str">
        <f aca="false">IF(Tasks[[#This Row],[_Res4Text]]="","",IF(Tasks[[#This Row],[_Res4Row]]&gt;0,INDEX(res_Name,Tasks[[#This Row],[_Res4Row]]),TRIM(LEFT(Tasks[[#This Row],[_Res4Text]],FIND("[",Tasks[[#This Row],[_Res4Text]]&amp;"[")-1))))</f>
        <v/>
      </c>
      <c r="EB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7" s="42" t="n">
        <f aca="false">IF(OR(NOT(Tasks[[#This Row],[_IsLeaf]]=1),Tasks[[#This Row],[_Res4Row]]=0),0,N(Tasks[[#This Row],[_Days]])*HoursPerDay*IF(Tasks[[#This Row],[_Res4Units]]="",DefaultUnits,Tasks[[#This Row],[_Res4Units]]))</f>
        <v>0</v>
      </c>
      <c r="ED37" s="42" t="n">
        <f aca="false">IF(AND(AND(Tasks[[#This Row],[_IsLeaf]]=1,Tasks[[#This Row],[_LeafTotalWork]]&gt;0),Tasks[[#This Row],[_Res4Work]]&gt;0),Tasks[[#This Row],[_Res4Work]]/(Tasks[[#This Row],[_FinishWorkday]]-Tasks[[#This Row],[_StartWorkday]]+1),0)</f>
        <v>0</v>
      </c>
      <c r="EE37" s="42" t="n">
        <f aca="false">Tasks[[#This Row],[_Res4WorkPerWD]]*MAX(0,Tasks[[#This Row],[_StartWorkday]]-1)</f>
        <v>0</v>
      </c>
      <c r="EF37" s="42" t="n">
        <f aca="false">Tasks[[#This Row],[_Res4Work]]*Tasks[[#This Row],[_LeafProgress]]</f>
        <v>0</v>
      </c>
      <c r="EG37" s="42" t="n">
        <f aca="false">IF(ISNUMBER(Tasks[[#This Row],[% Complete]]),Tasks[[#This Row],[% Complete]],IF(Tasks[[#This Row],[Stage]]="",0,IFERROR(INDEX(stg_Pct,MATCH(Tasks[[#This Row],[Stage]],stg_Name,0)),0)))</f>
        <v>0</v>
      </c>
      <c r="EH37" s="42" t="n">
        <f aca="false">IF(NOT(Tasks[[#This Row],[_IsLeaf]]=1),0,IF(N(Tasks[[#This Row],[Actual Finish]])&gt;0,1,MIN(1,Tasks[[#This Row],[_Pct]])))</f>
        <v>0</v>
      </c>
      <c r="EI37" s="42" t="n">
        <f aca="false">IF(OR(NOT(Tasks[[#This Row],[_IsLeaf]]=1),Tasks[[#This Row],[_Res1Row]]=0),0,N(Tasks[[#This Row],[_Days]])*HoursPerDay*IF(Tasks[[#This Row],[_Units1]]="",DefaultUnits,Tasks[[#This Row],[_Units1]]))</f>
        <v>0</v>
      </c>
      <c r="EJ37" s="42" t="n">
        <f aca="false">Tasks[[#This Row],[_LeafWork]]+Tasks[[#This Row],[_Res2Work]]+Tasks[[#This Row],[_Res3Work]]+Tasks[[#This Row],[_Res4Work]]</f>
        <v>0</v>
      </c>
      <c r="EK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7" s="42" t="n">
        <f aca="false">IF(NOT(Tasks[[#This Row],[_IsLeaf]]=1),0,MAX(_xlfn.MAXIFS(Tasks[_Row],Tasks[_Pred1UID],Tasks[[#This Row],[UID]]),_xlfn.MAXIFS(Tasks[_Row],Tasks[_Pred2UID],Tasks[[#This Row],[UID]]),_xlfn.MAXIFS(Tasks[_Row],Tasks[_Pred3UID],Tasks[[#This Row],[UID]]),_xlfn.MAXIFS(Tasks[_Row],Tasks[_Pred4UID],Tasks[[#This Row],[UID]])))</f>
        <v>0</v>
      </c>
      <c r="ET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7" s="89" t="str">
        <f aca="false">IF(NOT(Tasks[[#This Row],[_IsLeaf]]=1),"",IF(N(Tasks[[#This Row],[_Days]])&lt;=0,Tasks[[#This Row],[_LeafLateFinish]],WORKDAY.INTL(Tasks[[#This Row],[_LeafLateFinish]],-(Tasks[[#This Row],[_Days]]-1),WorkWeek,Holidays)))</f>
        <v/>
      </c>
      <c r="EW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7" s="88" t="b">
        <f aca="false">AND(Tasks[[#This Row],[_IsLeaf]]=1,Tasks[[#This Row],[_LeafProgress]]&lt;1,N(Tasks[[#This Row],[_LeafTotalSlack]])&lt;=CriticalSlackDays)</f>
        <v>0</v>
      </c>
      <c r="EY37" s="42" t="n">
        <f aca="false">IF(AND(Tasks[[#This Row],[_IsLeaf]]=1,Tasks[[#This Row],[_ConstraintCode]]=1,Tasks[[#This Row],[Mode]]&lt;&gt;"Manual",N(Tasks[[#This Row],[Actual Start]])=0),MAX(0,N(Tasks[[#This Row],[Free Slack]])),0)</f>
        <v>0</v>
      </c>
      <c r="EZ37" s="89" t="str">
        <f aca="false">IF(NOT(Tasks[[#This Row],[_IsLeaf]]=1),"",IF(Tasks[[#This Row],[_AlapShift]]=0,Tasks[[#This Row],[_LeafCalcStart]],WORKDAY.INTL(Tasks[[#This Row],[_LeafCalcStart]],Tasks[[#This Row],[_AlapShift]],WorkWeek,Holidays)))</f>
        <v/>
      </c>
      <c r="FA37" s="89" t="str">
        <f aca="false">IF(NOT(Tasks[[#This Row],[_IsLeaf]]=1),"",IF(Tasks[[#This Row],[_AlapShift]]=0,Tasks[[#This Row],[_LeafCalcFinish]],WORKDAY.INTL(Tasks[[#This Row],[_LeafCalcFinish]],Tasks[[#This Row],[_AlapShift]],WorkWeek,Holidays)))</f>
        <v/>
      </c>
      <c r="FB37" s="89" t="str">
        <f aca="false">IF(NOT(Tasks[[#This Row],[_IsLeaf]]=1),"",IF(Tasks[[#This Row],[_AlapShift]]=0,Tasks[[#This Row],[_LeafFcstStart]],WORKDAY.INTL(Tasks[[#This Row],[_LeafFcstStart]],Tasks[[#This Row],[_AlapShift]],WorkWeek,Holidays)))</f>
        <v/>
      </c>
      <c r="FC37" s="89" t="str">
        <f aca="false">IF(NOT(Tasks[[#This Row],[_IsLeaf]]=1),"",IF(Tasks[[#This Row],[_AlapShift]]=0,Tasks[[#This Row],[_LeafFcstFinish]],WORKDAY.INTL(Tasks[[#This Row],[_LeafFcstFinish]],Tasks[[#This Row],[_AlapShift]],WorkWeek,Holidays)))</f>
        <v/>
      </c>
      <c r="FD37" s="89" t="str">
        <f aca="false">IF(Tasks[[#This Row],[Task Name]]="","",IF(Tasks[[#This Row],[_IsSummary]],MIN(INDEX(Tasks[_ShownCalcStart],Tasks[[#This Row],[_Row]]+1):INDEX(Tasks[_ShownCalcStart],Tasks[[#This Row],[_Row]]+Tasks[[#This Row],[_Descendants]])),Tasks[[#This Row],[_ShownCalcStart]]))</f>
        <v/>
      </c>
      <c r="FE37" s="89" t="str">
        <f aca="false">IF(Tasks[[#This Row],[Task Name]]="","",IF(Tasks[[#This Row],[_IsSummary]],MAX(INDEX(Tasks[_ShownCalcFinish],Tasks[[#This Row],[_Row]]+1):INDEX(Tasks[_ShownCalcFinish],Tasks[[#This Row],[_Row]]+Tasks[[#This Row],[_Descendants]])),Tasks[[#This Row],[_ShownCalcFinish]]))</f>
        <v/>
      </c>
      <c r="FF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7" s="42" t="n">
        <f aca="false">IF(AND(Tasks[[#This Row],[_IsLeaf]]=1,Tasks[[#This Row],[_LeafTotalWork]]&gt;0),NETWORKDAYS.INTL(ProjectStart,Tasks[[#This Row],[_ShownFcstStart]],WorkWeek,Holidays),0)</f>
        <v>0</v>
      </c>
      <c r="FS37" s="42" t="n">
        <f aca="false">IF(AND(Tasks[[#This Row],[_IsLeaf]]=1,Tasks[[#This Row],[_LeafTotalWork]]&gt;0),MAX(Tasks[[#This Row],[_StartWorkday]],NETWORKDAYS.INTL(ProjectStart,Tasks[[#This Row],[_ShownFcstFinish]],WorkWeek,Holidays)),0)</f>
        <v>0</v>
      </c>
      <c r="FT37" s="42" t="n">
        <f aca="false">IF(AND(Tasks[[#This Row],[_IsLeaf]]=1,Tasks[[#This Row],[_LeafTotalWork]]&gt;0),Tasks[[#This Row],[_LeafWork]]/(Tasks[[#This Row],[_FinishWorkday]]-Tasks[[#This Row],[_StartWorkday]]+1),0)</f>
        <v>0</v>
      </c>
      <c r="FU37" s="42" t="n">
        <f aca="false">Tasks[[#This Row],[_WorkPerWorkday]]*(Tasks[[#This Row],[_StartWorkday]]-1)</f>
        <v>-0</v>
      </c>
      <c r="FV37" s="42" t="n">
        <f aca="false">IF(Tasks[[#This Row],[_IsLeaf]]=1,MAX(N(Tasks[[#This Row],[_Days]]),0.1),0)</f>
        <v>0</v>
      </c>
      <c r="FW37" s="42" t="n">
        <f aca="false">Tasks[[#This Row],[_WeightDur]]*Tasks[[#This Row],[_LeafProgress]]</f>
        <v>0</v>
      </c>
      <c r="FX37" s="42" t="n">
        <f aca="false">Tasks[[#This Row],[_WeightDur]]*Tasks[[#This Row],[_PlannedPct]]</f>
        <v>0</v>
      </c>
      <c r="FY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7" s="42" t="str">
        <f aca="false">IF(AND(Tasks[[#This Row],[_IsLeaf]]=1,N(Tasks[[#This Row],[_Days]])=0,Tasks[[#This Row],[_LeafProgress]]&lt;1),Tasks[[#This Row],[_ShownFcstFinish]]+Tasks[[#This Row],[_Row]]/100000,"")</f>
        <v/>
      </c>
      <c r="GA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7" s="42" t="str">
        <f aca="false">IF(Tasks[[#This Row],[Task Name]]="","",LEFT(Tasks[[#This Row],[WBS]],FIND(".",Tasks[[#This Row],[WBS]]&amp;".")-1))</f>
        <v/>
      </c>
      <c r="GC37" s="42" t="str">
        <f aca="false">IF(AND(Tasks[[#This Row],[Task Name]]&lt;&gt;"",Tasks[[#This Row],[_Level]]=1),Tasks[[#This Row],[_Row]],"")</f>
        <v/>
      </c>
      <c r="GD37" s="42" t="str">
        <f aca="false">IF(AND(Tasks[[#This Row],[_IsLeaf]]=1,N(Tasks[[#This Row],[_Days]])=0),Tasks[[#This Row],[Planned Finish]]+Tasks[[#This Row],[_Row]]/100000,"")</f>
        <v/>
      </c>
      <c r="GE37" s="42" t="str">
        <f aca="false">IF(AND(Tasks[[#This Row],[_IsLeaf]]=1,Tasks[[#This Row],[_LeafProgress]]&lt;1,OR(N(Tasks[[#This Row],[Finish Var]])&gt;0,Tasks[[#This Row],[Status]]="Late Start")),MAX(0,Tasks[[#This Row],[Finish Var]])+1-Tasks[[#This Row],[_Row]]/1000000,"")</f>
        <v/>
      </c>
      <c r="GF37" s="42" t="str">
        <f aca="false">IF(AND(Tasks[[#This Row],[_IsLeaf]]=1,N(Tasks[[#This Row],[Actual Start]])=0,Tasks[[#This Row],[_ShownFcstStart]]&gt;=StatusDate,Tasks[[#This Row],[_ShownFcstStart]]&lt;=LookaheadEnd),Tasks[[#This Row],[_ShownFcstStart]]+Tasks[[#This Row],[_Row]]/100000,"")</f>
        <v/>
      </c>
      <c r="GG37" s="42" t="str">
        <f aca="false">IF(AND(Tasks[[#This Row],[_IsLeaf]]=1,Tasks[[#This Row],[_LeafProgress]]&lt;1,Tasks[[#This Row],[_ShownFcstFinish]]&gt;=StatusDate,Tasks[[#This Row],[_ShownFcstFinish]]&lt;=LookaheadEnd),Tasks[[#This Row],[_ShownFcstFinish]]+Tasks[[#This Row],[_Row]]/100000,"")</f>
        <v/>
      </c>
      <c r="GH37" s="42" t="str">
        <f aca="false">IF(Tasks[[#This Row],[_LeafCritical]],Tasks[[#This Row],[_ShownFcstStart]]+Tasks[[#This Row],[_Row]]/100000,"")</f>
        <v/>
      </c>
      <c r="GI37" s="42" t="n">
        <f aca="false">Tasks[[#This Row],[_LeafWork]]*Tasks[[#This Row],[_LeafProgress]]</f>
        <v>0</v>
      </c>
      <c r="GJ37" s="89" t="str">
        <f aca="false">IF(AND(Tasks[[#This Row],[_IsLeaf]]=1,Tasks[[#This Row],[_LeafProgress]]&gt;=1),IF(N(Tasks[[#This Row],[Actual Finish]])&gt;0,Tasks[[#This Row],[Actual Finish]],Tasks[[#This Row],[_ShownFcstFinish]]),"")</f>
        <v/>
      </c>
      <c r="GK37" s="42" t="n">
        <f aca="false">IF(Tasks[[#This Row],[_IsLeaf]]=1,N(Tasks[[#This Row],[Story Points]]),0)</f>
        <v>0</v>
      </c>
      <c r="GL37" s="42" t="str">
        <f aca="false">""</f>
        <v/>
      </c>
      <c r="GM37" s="88" t="b">
        <f aca="false">IF(Tasks[[#This Row],[Task Name]]="",FALSE(),AND(Tasks[[#This Row],[_IsLeaf]]=1,N(Tasks[[#This Row],[_Days]])=0))</f>
        <v>0</v>
      </c>
      <c r="GN37" s="89" t="n">
        <f aca="false">IF(Tasks[[#This Row],[Task Name]]="",0,IF(AND(Tasks[[#This Row],[_IsLeaf]]=1,NOT(Tasks[[#This Row],[_IsMilestone]]),N(Tasks[[#This Row],[Progress]])&gt;0),Tasks[[#This Row],[Start]],0))</f>
        <v>0</v>
      </c>
      <c r="GO37" s="89" t="n">
        <f aca="false">IF(Tasks[[#This Row],[_DoneFrom]]=0,0,IF(Tasks[[#This Row],[Progress]]&gt;=1,Tasks[[#This Row],[Finish]],MAX(Tasks[[#This Row],[_DoneFrom]],Tasks[[#This Row],[Start]]+ROUND((Tasks[[#This Row],[Finish]]-Tasks[[#This Row],[Start]]+1)*Tasks[[#This Row],[Progress]],0)-1)))</f>
        <v>0</v>
      </c>
      <c r="GP37" s="89" t="n">
        <f aca="false">IF(Tasks[[#This Row],[Task Name]]="",0,IF(OR(NOT(Tasks[[#This Row],[_IsLeaf]]=1),Tasks[[#This Row],[_IsMilestone]],N(Tasks[[#This Row],[Progress]])&gt;=1),0,IF(Tasks[[#This Row],[_DoneTo]]&gt;0,Tasks[[#This Row],[_DoneTo]]+1,Tasks[[#This Row],[Start]])))</f>
        <v>0</v>
      </c>
      <c r="GQ37" s="89" t="n">
        <f aca="false">IF(Tasks[[#This Row],[_RemFrom]]=0,0,Tasks[[#This Row],[Finish]])</f>
        <v>0</v>
      </c>
      <c r="GR37" s="88" t="b">
        <f aca="false">IF(Tasks[[#This Row],[Task Name]]="",FALSE(),OR(NOT(BaselineSet),N(Tasks[[#This Row],[Baseline Start]])&gt;0))</f>
        <v>0</v>
      </c>
      <c r="GS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7" s="90" t="str">
        <f aca="false">IF(Tasks[[#This Row],[_IsLeaf]]=1,Tasks[[#This Row],[_Row]],"")</f>
        <v/>
      </c>
      <c r="GW37" s="90" t="str">
        <f aca="false">IFERROR(INDEX(Tasks[UID],SMALL(Tasks[_PickKey],Tasks[[#This Row],[_Row]]))&amp;" "&amp;INDEX(Tasks[Task Name],SMALL(Tasks[_PickKey],Tasks[[#This Row],[_Row]])),"")</f>
        <v/>
      </c>
      <c r="GX37" s="42" t="str">
        <f aca="false">IF(Tasks[[#This Row],[Task Name]]="","",IF(Tasks[[#This Row],[_IsSummary]],NETWORKDAYS.INTL(Tasks[[#This Row],[Start]],Tasks[[#This Row],[Finish]],WorkWeek,Holidays),N(Tasks[[#This Row],[_Days]])))</f>
        <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3"/>
      <c r="U38" s="23"/>
      <c r="V38" s="83"/>
      <c r="W38" s="23"/>
      <c r="X38" s="83"/>
      <c r="Y38" s="23"/>
      <c r="Z38" s="83"/>
      <c r="AA38" s="23"/>
      <c r="AB38" s="23"/>
      <c r="AC38" s="7"/>
      <c r="AD38" s="7"/>
      <c r="AE38" s="62" t="str">
        <f aca="false">IF(Tasks[[#This Row],[Task Name]]="","",IF(Tasks[[#This Row],[_IsSummary]],MIN(INDEX(Tasks[_ShownFcstStart],Tasks[[#This Row],[_Row]]+1):INDEX(Tasks[_ShownFcstStart],Tasks[[#This Row],[_Row]]+Tasks[[#This Row],[_Descendants]])),Tasks[[#This Row],[_ShownFcstStart]]))</f>
        <v/>
      </c>
      <c r="AF38" s="62"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8" s="7"/>
      <c r="AK38" s="22"/>
      <c r="AL38" s="23"/>
      <c r="AM38" s="7"/>
      <c r="AN38" s="46"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2" t="str">
        <f aca="false">IF(Tasks[[#This Row],[Task Name]]="","",IF(N(Tasks[[#This Row],[Baseline Start]])&gt;0,Tasks[[#This Row],[Baseline Start]],Tasks[[#This Row],[_CalcStart]]))</f>
        <v/>
      </c>
      <c r="AR38" s="62" t="str">
        <f aca="false">IF(Tasks[[#This Row],[Task Name]]="","",IF(N(Tasks[[#This Row],[Baseline Finish]])&gt;0,Tasks[[#This Row],[Baseline Finish]],Tasks[[#This Row],[_CalcFinish]]))</f>
        <v/>
      </c>
      <c r="AS38" s="46" t="str">
        <f aca="false">IF(Tasks[[#This Row],[Task Name]]="","",IF(Tasks[[#This Row],[Start]]&gt;=Tasks[[#This Row],[Planned Start]],NETWORKDAYS.INTL(Tasks[[#This Row],[Planned Start]],Tasks[[#This Row],[Start]],WorkWeek,Holidays)-1,1-NETWORKDAYS.INTL(Tasks[[#This Row],[Start]],Tasks[[#This Row],[Planned Start]],WorkWeek,Holidays)))</f>
        <v/>
      </c>
      <c r="AT38" s="62" t="str">
        <f aca="false">IF(Tasks[[#This Row],[Task Name]]="","",IF(Tasks[[#This Row],[_IsSummary]],MIN(INDEX(Tasks[_LeafLateStart],Tasks[[#This Row],[_Row]]+1):INDEX(Tasks[_LeafLateStart],Tasks[[#This Row],[_Row]]+Tasks[[#This Row],[_Descendants]])),Tasks[[#This Row],[_LeafLateStart]]))</f>
        <v/>
      </c>
      <c r="AU38" s="62" t="str">
        <f aca="false">IF(Tasks[[#This Row],[Task Name]]="","",IF(Tasks[[#This Row],[_IsSummary]],MAX(INDEX(Tasks[_LeafLateFinish],Tasks[[#This Row],[_Row]]+1):INDEX(Tasks[_LeafLateFinish],Tasks[[#This Row],[_Row]]+Tasks[[#This Row],[_Descendants]])),Tasks[[#This Row],[_LeafLateFinish]]))</f>
        <v/>
      </c>
      <c r="AV38" s="46"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4"/>
      <c r="BA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5"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6"/>
      <c r="BJ38" s="22"/>
      <c r="BK38" s="46" t="str">
        <f aca="false">IF(OR(Tasks[[#This Row],[Task Name]]="",Tasks[[#This Row],[Baseline Duration]]=""),"",Tasks[[#This Row],[_SpanDays]]-N(Tasks[[#This Row],[Baseline Duration]]))</f>
        <v/>
      </c>
      <c r="BL38" s="85" t="str">
        <f aca="false">IF(OR(Tasks[[#This Row],[Task Name]]="",Tasks[[#This Row],[Baseline Work]]=""),"",Tasks[[#This Row],[Work]]-N(Tasks[[#This Row],[Baseline Work]]))</f>
        <v/>
      </c>
      <c r="BM38" s="62" t="str">
        <f aca="false">IF(Tasks[[#This Row],[Task Name]]="","",IF(OR(TakeBaseline="Yes",N(Tasks[[#This Row],[Baseline Start]])=0),Tasks[[#This Row],[Start]],Tasks[[#This Row],[Baseline Start]]))</f>
        <v/>
      </c>
      <c r="BN38" s="62"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5" t="str">
        <f aca="false">IF(Tasks[[#This Row],[Task Name]]="","",IF(OR(TakeBaseline="Yes",N(Tasks[[#This Row],[Baseline Work]])=0),Tasks[[#This Row],[Work]],Tasks[[#This Row],[Baseline Work]]))</f>
        <v/>
      </c>
      <c r="BQ38" s="7"/>
      <c r="BR38" s="7"/>
      <c r="BS38" s="22"/>
      <c r="BT38" s="87"/>
      <c r="BU38" s="42" t="str">
        <f aca="false">IF(Tasks[[#This Row],[Task Name]]="","",MAX(1,N(Tasks[[#This Row],[Level]])))</f>
        <v/>
      </c>
      <c r="BV38" s="42" t="n">
        <f aca="false">ROW()-ROW(Tasks[[#Headers],[ID]])</f>
        <v>33</v>
      </c>
      <c r="BW38" s="42" t="n">
        <f aca="false">IF(OR(Tasks[[#This Row],[Task Name]]="",Tasks[[#This Row],[_Level]]&lt;=1),0,IFERROR(LOOKUP(2,1/(Tasks[[#Headers],[_Level]]:Tasks[[#This Row],[_Level]]=Tasks[[#This Row],[_Level]]-1),ROW(Tasks[[#Headers],[_Level]]:Tasks[[#This Row],[_Level]])),0))</f>
        <v>0</v>
      </c>
      <c r="BX38" s="42" t="n">
        <f aca="false">IFERROR(N(INDEX(Tasks[_Level],Tasks[[#This Row],[_Row]]+1)),0)</f>
        <v>0</v>
      </c>
      <c r="BY38" s="88" t="b">
        <f aca="false">AND(Tasks[[#This Row],[Task Name]]&lt;&gt;"",Tasks[[#This Row],[_NextLevel]]&gt;Tasks[[#This Row],[_Level]])</f>
        <v>0</v>
      </c>
      <c r="BZ38" s="42" t="n">
        <f aca="false">IF(Tasks[[#This Row],[_IsSummary]],COUNTIF(Tasks[WBS],Tasks[[#This Row],[WBS]]&amp;".*"),0)</f>
        <v>0</v>
      </c>
      <c r="CA38" s="42" t="n">
        <f aca="false">IF(AND(Tasks[[#This Row],[Task Name]]&lt;&gt;"",NOT(Tasks[[#This Row],[_IsSummary]])),1,0)</f>
        <v>0</v>
      </c>
      <c r="CB38" s="42" t="n">
        <f aca="false">IF(N(Tasks[[#This Row],[_Pred1UID]])=0,0,IFERROR(MATCH(Tasks[[#This Row],[_Pred1UID]],Tasks[UID],0),-1))</f>
        <v>0</v>
      </c>
      <c r="CC38" s="42" t="n">
        <f aca="false">IF(N(Tasks[[#This Row],[_Pred2UID]])=0,0,IFERROR(MATCH(Tasks[[#This Row],[_Pred2UID]],Tasks[UID],0),-1))</f>
        <v>0</v>
      </c>
      <c r="CD38" s="42" t="n">
        <f aca="false">IF(N(Tasks[[#This Row],[_Pred3UID]])=0,0,IFERROR(MATCH(Tasks[[#This Row],[_Pred3UID]],Tasks[UID],0),-1))</f>
        <v>0</v>
      </c>
      <c r="CE38" s="42" t="n">
        <f aca="false">IF(N(Tasks[[#This Row],[_Pred4UID]])=0,0,IFERROR(MATCH(Tasks[[#This Row],[_Pred4UID]],Tasks[UID],0),-1))</f>
        <v>0</v>
      </c>
      <c r="CF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8" s="89" t="n">
        <f aca="false">IF(OR(Tasks[[#This Row],[_ConstraintCode]]=2,Tasks[[#This Row],[_ConstraintCode]]=3,Tasks[[#This Row],[_ConstraintCode]]=4,Tasks[[#This Row],[_ConstraintCode]]=6),Tasks[[#This Row],[_ConstraintStart]],0)</f>
        <v>0</v>
      </c>
      <c r="CI38" s="89" t="n">
        <f aca="false">IF(OR(Tasks[[#This Row],[_ConstraintCode]]=2,Tasks[[#This Row],[_ConstraintCode]]=3,Tasks[[#This Row],[_ConstraintCode]]=5,Tasks[[#This Row],[_ConstraintCode]]=7),Tasks[[#This Row],[_ConstraintStart]],2958465)</f>
        <v>2958465</v>
      </c>
      <c r="CJ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8" s="89" t="str">
        <f aca="false">IF(NOT(Tasks[[#This Row],[_IsLeaf]]=1),"",IF(N(Tasks[[#This Row],[_Days]])&lt;=0,Tasks[[#This Row],[_LeafCalcStart]],WORKDAY.INTL(Tasks[[#This Row],[_LeafCalcStart]],Tasks[[#This Row],[_Days]]-1,WorkWeek,Holidays)))</f>
        <v/>
      </c>
      <c r="CL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8" s="42" t="str">
        <f aca="false">IF(Tasks[[#This Row],[_Predecessors]]="","",TRIM(MID(SUBSTITUTE(SUBSTITUTE(SUBSTITUTE(UPPER(Tasks[[#This Row],[_Predecessors]]),";",",")," ",""),",",REPT(" ",99)),1,99)))</f>
        <v/>
      </c>
      <c r="CO38" s="42" t="str">
        <f aca="false">IF(Tasks[[#This Row],[_Pred1Text]]="","",IFERROR(VALUE(LEFT(Tasks[[#This Row],[_Pred1Text]],MIN(FIND("F",Tasks[[#This Row],[_Pred1Text]]&amp;"F"),FIND("S",Tasks[[#This Row],[_Pred1Text]]&amp;"S"),FIND("+",Tasks[[#This Row],[_Pred1Text]]&amp;"+"),FIND("-",Tasks[[#This Row],[_Pred1Text]]&amp;"-"))-1)),""))</f>
        <v/>
      </c>
      <c r="CP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8" s="42" t="str">
        <f aca="false">IF(Tasks[[#This Row],[_Pred1Text]]="","",TRIM(MID(SUBSTITUTE(SUBSTITUTE(SUBSTITUTE(UPPER(Tasks[[#This Row],[_Predecessors]]),";",",")," ",""),",",REPT(" ",99)),100,99)))</f>
        <v/>
      </c>
      <c r="CS38" s="42" t="str">
        <f aca="false">IF(Tasks[[#This Row],[_Pred2Text]]="","",IFERROR(VALUE(LEFT(Tasks[[#This Row],[_Pred2Text]],MIN(FIND("F",Tasks[[#This Row],[_Pred2Text]]&amp;"F"),FIND("S",Tasks[[#This Row],[_Pred2Text]]&amp;"S"),FIND("+",Tasks[[#This Row],[_Pred2Text]]&amp;"+"),FIND("-",Tasks[[#This Row],[_Pred2Text]]&amp;"-"))-1)),""))</f>
        <v/>
      </c>
      <c r="CT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8" s="42" t="str">
        <f aca="false">IF(Tasks[[#This Row],[_Pred2Text]]="","",TRIM(MID(SUBSTITUTE(SUBSTITUTE(SUBSTITUTE(UPPER(Tasks[[#This Row],[_Predecessors]]),";",",")," ",""),",",REPT(" ",99)),199,99)))</f>
        <v/>
      </c>
      <c r="CW38" s="42" t="str">
        <f aca="false">IF(Tasks[[#This Row],[_Pred3Text]]="","",IFERROR(VALUE(LEFT(Tasks[[#This Row],[_Pred3Text]],MIN(FIND("F",Tasks[[#This Row],[_Pred3Text]]&amp;"F"),FIND("S",Tasks[[#This Row],[_Pred3Text]]&amp;"S"),FIND("+",Tasks[[#This Row],[_Pred3Text]]&amp;"+"),FIND("-",Tasks[[#This Row],[_Pred3Text]]&amp;"-"))-1)),""))</f>
        <v/>
      </c>
      <c r="CX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8" s="42" t="str">
        <f aca="false">IF(Tasks[[#This Row],[_Pred3Text]]="","",TRIM(MID(SUBSTITUTE(SUBSTITUTE(SUBSTITUTE(UPPER(Tasks[[#This Row],[_Predecessors]]),";",",")," ",""),",",REPT(" ",99)),298,99)))</f>
        <v/>
      </c>
      <c r="DA38" s="42" t="str">
        <f aca="false">IF(Tasks[[#This Row],[_Pred4Text]]="","",IFERROR(VALUE(LEFT(Tasks[[#This Row],[_Pred4Text]],MIN(FIND("F",Tasks[[#This Row],[_Pred4Text]]&amp;"F"),FIND("S",Tasks[[#This Row],[_Pred4Text]]&amp;"S"),FIND("+",Tasks[[#This Row],[_Pred4Text]]&amp;"+"),FIND("-",Tasks[[#This Row],[_Pred4Text]]&amp;"-"))-1)),""))</f>
        <v/>
      </c>
      <c r="DB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8" s="42" t="str">
        <f aca="false">IF(OR(Tasks[[#This Row],[Task Name]]="",Tasks[[#This Row],[_Resources]]=""),"",TRIM(MID(SUBSTITUTE(Tasks[[#This Row],[_Resources]],",",REPT(" ",99)),1,99)))</f>
        <v/>
      </c>
      <c r="DE38" s="42" t="str">
        <f aca="false">IF(Tasks[[#This Row],[_Res1Text]]="","",TRIM(MID(SUBSTITUTE(Tasks[[#This Row],[_Resources]],",",REPT(" ",99)),100,99)))</f>
        <v/>
      </c>
      <c r="DF38" s="42" t="str">
        <f aca="false">IF(Tasks[[#This Row],[_Res2Text]]="","",TRIM(MID(SUBSTITUTE(Tasks[[#This Row],[_Resources]],",",REPT(" ",99)),199,99)))</f>
        <v/>
      </c>
      <c r="DG38" s="42" t="str">
        <f aca="false">IF(Tasks[[#This Row],[_Res3Text]]="","",TRIM(MID(SUBSTITUTE(Tasks[[#This Row],[_Resources]],",",REPT(" ",99)),298,99)))</f>
        <v/>
      </c>
      <c r="DH38" s="42" t="n">
        <f aca="false">IF(Tasks[[#This Row],[_Res1Text]]="",0,IFERROR(MATCH(TRIM(LEFT(Tasks[[#This Row],[_Res1Text]],FIND("[",Tasks[[#This Row],[_Res1Text]]&amp;"[")-1)),res_Name,0),IFERROR(MATCH(TRIM(LEFT(Tasks[[#This Row],[_Res1Text]],FIND("[",Tasks[[#This Row],[_Res1Text]]&amp;"[")-1)),res_Initials,0),0)))</f>
        <v>0</v>
      </c>
      <c r="DI38" s="42" t="n">
        <f aca="false">IF(Tasks[[#This Row],[_Res2Text]]="",0,IFERROR(MATCH(TRIM(LEFT(Tasks[[#This Row],[_Res2Text]],FIND("[",Tasks[[#This Row],[_Res2Text]]&amp;"[")-1)),res_Name,0),IFERROR(MATCH(TRIM(LEFT(Tasks[[#This Row],[_Res2Text]],FIND("[",Tasks[[#This Row],[_Res2Text]]&amp;"[")-1)),res_Initials,0),0)))</f>
        <v>0</v>
      </c>
      <c r="DJ38" s="42" t="n">
        <f aca="false">IF(Tasks[[#This Row],[_Res3Text]]="",0,IFERROR(MATCH(TRIM(LEFT(Tasks[[#This Row],[_Res3Text]],FIND("[",Tasks[[#This Row],[_Res3Text]]&amp;"[")-1)),res_Name,0),IFERROR(MATCH(TRIM(LEFT(Tasks[[#This Row],[_Res3Text]],FIND("[",Tasks[[#This Row],[_Res3Text]]&amp;"[")-1)),res_Initials,0),0)))</f>
        <v>0</v>
      </c>
      <c r="DK38" s="42" t="n">
        <f aca="false">IF(Tasks[[#This Row],[_Res4Text]]="",0,IFERROR(MATCH(TRIM(LEFT(Tasks[[#This Row],[_Res4Text]],FIND("[",Tasks[[#This Row],[_Res4Text]]&amp;"[")-1)),res_Name,0),IFERROR(MATCH(TRIM(LEFT(Tasks[[#This Row],[_Res4Text]],FIND("[",Tasks[[#This Row],[_Res4Text]]&amp;"[")-1)),res_Initials,0),0)))</f>
        <v>0</v>
      </c>
      <c r="DL38" s="42" t="str">
        <f aca="false">IF(Tasks[[#This Row],[_Res1Text]]="","",IF(Tasks[[#This Row],[_Res1Row]]&gt;0,INDEX(res_Name,Tasks[[#This Row],[_Res1Row]]),TRIM(LEFT(Tasks[[#This Row],[_Res1Text]],FIND("[",Tasks[[#This Row],[_Res1Text]]&amp;"[")-1))))</f>
        <v/>
      </c>
      <c r="DM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8" s="42" t="n">
        <f aca="false">IF(NOT(Tasks[[#This Row],[_IsLeaf]]=1),0,(Tasks[[#This Row],[_Resource1]]&lt;&gt;"")+(Tasks[[#This Row],[_Res2]]&lt;&gt;"")+(Tasks[[#This Row],[_Res3]]&lt;&gt;"")+(Tasks[[#This Row],[_Res4]]&lt;&gt;""))</f>
        <v>0</v>
      </c>
      <c r="DO38" s="42" t="str">
        <f aca="false">IF(Tasks[[#This Row],[_Res2Text]]="","",IF(Tasks[[#This Row],[_Res2Row]]&gt;0,INDEX(res_Name,Tasks[[#This Row],[_Res2Row]]),TRIM(LEFT(Tasks[[#This Row],[_Res2Text]],FIND("[",Tasks[[#This Row],[_Res2Text]]&amp;"[")-1))))</f>
        <v/>
      </c>
      <c r="DP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8" s="42" t="n">
        <f aca="false">IF(OR(NOT(Tasks[[#This Row],[_IsLeaf]]=1),Tasks[[#This Row],[_Res2Row]]=0),0,N(Tasks[[#This Row],[_Days]])*HoursPerDay*IF(Tasks[[#This Row],[_Res2Units]]="",DefaultUnits,Tasks[[#This Row],[_Res2Units]]))</f>
        <v>0</v>
      </c>
      <c r="DR38" s="42" t="n">
        <f aca="false">IF(AND(AND(Tasks[[#This Row],[_IsLeaf]]=1,Tasks[[#This Row],[_LeafTotalWork]]&gt;0),Tasks[[#This Row],[_Res2Work]]&gt;0),Tasks[[#This Row],[_Res2Work]]/(Tasks[[#This Row],[_FinishWorkday]]-Tasks[[#This Row],[_StartWorkday]]+1),0)</f>
        <v>0</v>
      </c>
      <c r="DS38" s="42" t="n">
        <f aca="false">Tasks[[#This Row],[_Res2WorkPerWD]]*MAX(0,Tasks[[#This Row],[_StartWorkday]]-1)</f>
        <v>0</v>
      </c>
      <c r="DT38" s="42" t="n">
        <f aca="false">Tasks[[#This Row],[_Res2Work]]*Tasks[[#This Row],[_LeafProgress]]</f>
        <v>0</v>
      </c>
      <c r="DU38" s="42" t="str">
        <f aca="false">IF(Tasks[[#This Row],[_Res3Text]]="","",IF(Tasks[[#This Row],[_Res3Row]]&gt;0,INDEX(res_Name,Tasks[[#This Row],[_Res3Row]]),TRIM(LEFT(Tasks[[#This Row],[_Res3Text]],FIND("[",Tasks[[#This Row],[_Res3Text]]&amp;"[")-1))))</f>
        <v/>
      </c>
      <c r="DV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8" s="42" t="n">
        <f aca="false">IF(OR(NOT(Tasks[[#This Row],[_IsLeaf]]=1),Tasks[[#This Row],[_Res3Row]]=0),0,N(Tasks[[#This Row],[_Days]])*HoursPerDay*IF(Tasks[[#This Row],[_Res3Units]]="",DefaultUnits,Tasks[[#This Row],[_Res3Units]]))</f>
        <v>0</v>
      </c>
      <c r="DX38" s="42" t="n">
        <f aca="false">IF(AND(AND(Tasks[[#This Row],[_IsLeaf]]=1,Tasks[[#This Row],[_LeafTotalWork]]&gt;0),Tasks[[#This Row],[_Res3Work]]&gt;0),Tasks[[#This Row],[_Res3Work]]/(Tasks[[#This Row],[_FinishWorkday]]-Tasks[[#This Row],[_StartWorkday]]+1),0)</f>
        <v>0</v>
      </c>
      <c r="DY38" s="42" t="n">
        <f aca="false">Tasks[[#This Row],[_Res3WorkPerWD]]*MAX(0,Tasks[[#This Row],[_StartWorkday]]-1)</f>
        <v>0</v>
      </c>
      <c r="DZ38" s="42" t="n">
        <f aca="false">Tasks[[#This Row],[_Res3Work]]*Tasks[[#This Row],[_LeafProgress]]</f>
        <v>0</v>
      </c>
      <c r="EA38" s="42" t="str">
        <f aca="false">IF(Tasks[[#This Row],[_Res4Text]]="","",IF(Tasks[[#This Row],[_Res4Row]]&gt;0,INDEX(res_Name,Tasks[[#This Row],[_Res4Row]]),TRIM(LEFT(Tasks[[#This Row],[_Res4Text]],FIND("[",Tasks[[#This Row],[_Res4Text]]&amp;"[")-1))))</f>
        <v/>
      </c>
      <c r="EB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8" s="42" t="n">
        <f aca="false">IF(OR(NOT(Tasks[[#This Row],[_IsLeaf]]=1),Tasks[[#This Row],[_Res4Row]]=0),0,N(Tasks[[#This Row],[_Days]])*HoursPerDay*IF(Tasks[[#This Row],[_Res4Units]]="",DefaultUnits,Tasks[[#This Row],[_Res4Units]]))</f>
        <v>0</v>
      </c>
      <c r="ED38" s="42" t="n">
        <f aca="false">IF(AND(AND(Tasks[[#This Row],[_IsLeaf]]=1,Tasks[[#This Row],[_LeafTotalWork]]&gt;0),Tasks[[#This Row],[_Res4Work]]&gt;0),Tasks[[#This Row],[_Res4Work]]/(Tasks[[#This Row],[_FinishWorkday]]-Tasks[[#This Row],[_StartWorkday]]+1),0)</f>
        <v>0</v>
      </c>
      <c r="EE38" s="42" t="n">
        <f aca="false">Tasks[[#This Row],[_Res4WorkPerWD]]*MAX(0,Tasks[[#This Row],[_StartWorkday]]-1)</f>
        <v>0</v>
      </c>
      <c r="EF38" s="42" t="n">
        <f aca="false">Tasks[[#This Row],[_Res4Work]]*Tasks[[#This Row],[_LeafProgress]]</f>
        <v>0</v>
      </c>
      <c r="EG38" s="42" t="n">
        <f aca="false">IF(ISNUMBER(Tasks[[#This Row],[% Complete]]),Tasks[[#This Row],[% Complete]],IF(Tasks[[#This Row],[Stage]]="",0,IFERROR(INDEX(stg_Pct,MATCH(Tasks[[#This Row],[Stage]],stg_Name,0)),0)))</f>
        <v>0</v>
      </c>
      <c r="EH38" s="42" t="n">
        <f aca="false">IF(NOT(Tasks[[#This Row],[_IsLeaf]]=1),0,IF(N(Tasks[[#This Row],[Actual Finish]])&gt;0,1,MIN(1,Tasks[[#This Row],[_Pct]])))</f>
        <v>0</v>
      </c>
      <c r="EI38" s="42" t="n">
        <f aca="false">IF(OR(NOT(Tasks[[#This Row],[_IsLeaf]]=1),Tasks[[#This Row],[_Res1Row]]=0),0,N(Tasks[[#This Row],[_Days]])*HoursPerDay*IF(Tasks[[#This Row],[_Units1]]="",DefaultUnits,Tasks[[#This Row],[_Units1]]))</f>
        <v>0</v>
      </c>
      <c r="EJ38" s="42" t="n">
        <f aca="false">Tasks[[#This Row],[_LeafWork]]+Tasks[[#This Row],[_Res2Work]]+Tasks[[#This Row],[_Res3Work]]+Tasks[[#This Row],[_Res4Work]]</f>
        <v>0</v>
      </c>
      <c r="EK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8" s="42" t="n">
        <f aca="false">IF(NOT(Tasks[[#This Row],[_IsLeaf]]=1),0,MAX(_xlfn.MAXIFS(Tasks[_Row],Tasks[_Pred1UID],Tasks[[#This Row],[UID]]),_xlfn.MAXIFS(Tasks[_Row],Tasks[_Pred2UID],Tasks[[#This Row],[UID]]),_xlfn.MAXIFS(Tasks[_Row],Tasks[_Pred3UID],Tasks[[#This Row],[UID]]),_xlfn.MAXIFS(Tasks[_Row],Tasks[_Pred4UID],Tasks[[#This Row],[UID]])))</f>
        <v>0</v>
      </c>
      <c r="ET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8" s="89" t="str">
        <f aca="false">IF(NOT(Tasks[[#This Row],[_IsLeaf]]=1),"",IF(N(Tasks[[#This Row],[_Days]])&lt;=0,Tasks[[#This Row],[_LeafLateFinish]],WORKDAY.INTL(Tasks[[#This Row],[_LeafLateFinish]],-(Tasks[[#This Row],[_Days]]-1),WorkWeek,Holidays)))</f>
        <v/>
      </c>
      <c r="EW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8" s="88" t="b">
        <f aca="false">AND(Tasks[[#This Row],[_IsLeaf]]=1,Tasks[[#This Row],[_LeafProgress]]&lt;1,N(Tasks[[#This Row],[_LeafTotalSlack]])&lt;=CriticalSlackDays)</f>
        <v>0</v>
      </c>
      <c r="EY38" s="42" t="n">
        <f aca="false">IF(AND(Tasks[[#This Row],[_IsLeaf]]=1,Tasks[[#This Row],[_ConstraintCode]]=1,Tasks[[#This Row],[Mode]]&lt;&gt;"Manual",N(Tasks[[#This Row],[Actual Start]])=0),MAX(0,N(Tasks[[#This Row],[Free Slack]])),0)</f>
        <v>0</v>
      </c>
      <c r="EZ38" s="89" t="str">
        <f aca="false">IF(NOT(Tasks[[#This Row],[_IsLeaf]]=1),"",IF(Tasks[[#This Row],[_AlapShift]]=0,Tasks[[#This Row],[_LeafCalcStart]],WORKDAY.INTL(Tasks[[#This Row],[_LeafCalcStart]],Tasks[[#This Row],[_AlapShift]],WorkWeek,Holidays)))</f>
        <v/>
      </c>
      <c r="FA38" s="89" t="str">
        <f aca="false">IF(NOT(Tasks[[#This Row],[_IsLeaf]]=1),"",IF(Tasks[[#This Row],[_AlapShift]]=0,Tasks[[#This Row],[_LeafCalcFinish]],WORKDAY.INTL(Tasks[[#This Row],[_LeafCalcFinish]],Tasks[[#This Row],[_AlapShift]],WorkWeek,Holidays)))</f>
        <v/>
      </c>
      <c r="FB38" s="89" t="str">
        <f aca="false">IF(NOT(Tasks[[#This Row],[_IsLeaf]]=1),"",IF(Tasks[[#This Row],[_AlapShift]]=0,Tasks[[#This Row],[_LeafFcstStart]],WORKDAY.INTL(Tasks[[#This Row],[_LeafFcstStart]],Tasks[[#This Row],[_AlapShift]],WorkWeek,Holidays)))</f>
        <v/>
      </c>
      <c r="FC38" s="89" t="str">
        <f aca="false">IF(NOT(Tasks[[#This Row],[_IsLeaf]]=1),"",IF(Tasks[[#This Row],[_AlapShift]]=0,Tasks[[#This Row],[_LeafFcstFinish]],WORKDAY.INTL(Tasks[[#This Row],[_LeafFcstFinish]],Tasks[[#This Row],[_AlapShift]],WorkWeek,Holidays)))</f>
        <v/>
      </c>
      <c r="FD38" s="89" t="str">
        <f aca="false">IF(Tasks[[#This Row],[Task Name]]="","",IF(Tasks[[#This Row],[_IsSummary]],MIN(INDEX(Tasks[_ShownCalcStart],Tasks[[#This Row],[_Row]]+1):INDEX(Tasks[_ShownCalcStart],Tasks[[#This Row],[_Row]]+Tasks[[#This Row],[_Descendants]])),Tasks[[#This Row],[_ShownCalcStart]]))</f>
        <v/>
      </c>
      <c r="FE38" s="89" t="str">
        <f aca="false">IF(Tasks[[#This Row],[Task Name]]="","",IF(Tasks[[#This Row],[_IsSummary]],MAX(INDEX(Tasks[_ShownCalcFinish],Tasks[[#This Row],[_Row]]+1):INDEX(Tasks[_ShownCalcFinish],Tasks[[#This Row],[_Row]]+Tasks[[#This Row],[_Descendants]])),Tasks[[#This Row],[_ShownCalcFinish]]))</f>
        <v/>
      </c>
      <c r="FF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8" s="42" t="n">
        <f aca="false">IF(AND(Tasks[[#This Row],[_IsLeaf]]=1,Tasks[[#This Row],[_LeafTotalWork]]&gt;0),NETWORKDAYS.INTL(ProjectStart,Tasks[[#This Row],[_ShownFcstStart]],WorkWeek,Holidays),0)</f>
        <v>0</v>
      </c>
      <c r="FS38" s="42" t="n">
        <f aca="false">IF(AND(Tasks[[#This Row],[_IsLeaf]]=1,Tasks[[#This Row],[_LeafTotalWork]]&gt;0),MAX(Tasks[[#This Row],[_StartWorkday]],NETWORKDAYS.INTL(ProjectStart,Tasks[[#This Row],[_ShownFcstFinish]],WorkWeek,Holidays)),0)</f>
        <v>0</v>
      </c>
      <c r="FT38" s="42" t="n">
        <f aca="false">IF(AND(Tasks[[#This Row],[_IsLeaf]]=1,Tasks[[#This Row],[_LeafTotalWork]]&gt;0),Tasks[[#This Row],[_LeafWork]]/(Tasks[[#This Row],[_FinishWorkday]]-Tasks[[#This Row],[_StartWorkday]]+1),0)</f>
        <v>0</v>
      </c>
      <c r="FU38" s="42" t="n">
        <f aca="false">Tasks[[#This Row],[_WorkPerWorkday]]*(Tasks[[#This Row],[_StartWorkday]]-1)</f>
        <v>-0</v>
      </c>
      <c r="FV38" s="42" t="n">
        <f aca="false">IF(Tasks[[#This Row],[_IsLeaf]]=1,MAX(N(Tasks[[#This Row],[_Days]]),0.1),0)</f>
        <v>0</v>
      </c>
      <c r="FW38" s="42" t="n">
        <f aca="false">Tasks[[#This Row],[_WeightDur]]*Tasks[[#This Row],[_LeafProgress]]</f>
        <v>0</v>
      </c>
      <c r="FX38" s="42" t="n">
        <f aca="false">Tasks[[#This Row],[_WeightDur]]*Tasks[[#This Row],[_PlannedPct]]</f>
        <v>0</v>
      </c>
      <c r="FY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8" s="42" t="str">
        <f aca="false">IF(AND(Tasks[[#This Row],[_IsLeaf]]=1,N(Tasks[[#This Row],[_Days]])=0,Tasks[[#This Row],[_LeafProgress]]&lt;1),Tasks[[#This Row],[_ShownFcstFinish]]+Tasks[[#This Row],[_Row]]/100000,"")</f>
        <v/>
      </c>
      <c r="GA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8" s="42" t="str">
        <f aca="false">IF(Tasks[[#This Row],[Task Name]]="","",LEFT(Tasks[[#This Row],[WBS]],FIND(".",Tasks[[#This Row],[WBS]]&amp;".")-1))</f>
        <v/>
      </c>
      <c r="GC38" s="42" t="str">
        <f aca="false">IF(AND(Tasks[[#This Row],[Task Name]]&lt;&gt;"",Tasks[[#This Row],[_Level]]=1),Tasks[[#This Row],[_Row]],"")</f>
        <v/>
      </c>
      <c r="GD38" s="42" t="str">
        <f aca="false">IF(AND(Tasks[[#This Row],[_IsLeaf]]=1,N(Tasks[[#This Row],[_Days]])=0),Tasks[[#This Row],[Planned Finish]]+Tasks[[#This Row],[_Row]]/100000,"")</f>
        <v/>
      </c>
      <c r="GE38" s="42" t="str">
        <f aca="false">IF(AND(Tasks[[#This Row],[_IsLeaf]]=1,Tasks[[#This Row],[_LeafProgress]]&lt;1,OR(N(Tasks[[#This Row],[Finish Var]])&gt;0,Tasks[[#This Row],[Status]]="Late Start")),MAX(0,Tasks[[#This Row],[Finish Var]])+1-Tasks[[#This Row],[_Row]]/1000000,"")</f>
        <v/>
      </c>
      <c r="GF38" s="42" t="str">
        <f aca="false">IF(AND(Tasks[[#This Row],[_IsLeaf]]=1,N(Tasks[[#This Row],[Actual Start]])=0,Tasks[[#This Row],[_ShownFcstStart]]&gt;=StatusDate,Tasks[[#This Row],[_ShownFcstStart]]&lt;=LookaheadEnd),Tasks[[#This Row],[_ShownFcstStart]]+Tasks[[#This Row],[_Row]]/100000,"")</f>
        <v/>
      </c>
      <c r="GG38" s="42" t="str">
        <f aca="false">IF(AND(Tasks[[#This Row],[_IsLeaf]]=1,Tasks[[#This Row],[_LeafProgress]]&lt;1,Tasks[[#This Row],[_ShownFcstFinish]]&gt;=StatusDate,Tasks[[#This Row],[_ShownFcstFinish]]&lt;=LookaheadEnd),Tasks[[#This Row],[_ShownFcstFinish]]+Tasks[[#This Row],[_Row]]/100000,"")</f>
        <v/>
      </c>
      <c r="GH38" s="42" t="str">
        <f aca="false">IF(Tasks[[#This Row],[_LeafCritical]],Tasks[[#This Row],[_ShownFcstStart]]+Tasks[[#This Row],[_Row]]/100000,"")</f>
        <v/>
      </c>
      <c r="GI38" s="42" t="n">
        <f aca="false">Tasks[[#This Row],[_LeafWork]]*Tasks[[#This Row],[_LeafProgress]]</f>
        <v>0</v>
      </c>
      <c r="GJ38" s="89" t="str">
        <f aca="false">IF(AND(Tasks[[#This Row],[_IsLeaf]]=1,Tasks[[#This Row],[_LeafProgress]]&gt;=1),IF(N(Tasks[[#This Row],[Actual Finish]])&gt;0,Tasks[[#This Row],[Actual Finish]],Tasks[[#This Row],[_ShownFcstFinish]]),"")</f>
        <v/>
      </c>
      <c r="GK38" s="42" t="n">
        <f aca="false">IF(Tasks[[#This Row],[_IsLeaf]]=1,N(Tasks[[#This Row],[Story Points]]),0)</f>
        <v>0</v>
      </c>
      <c r="GL38" s="42" t="str">
        <f aca="false">""</f>
        <v/>
      </c>
      <c r="GM38" s="88" t="b">
        <f aca="false">IF(Tasks[[#This Row],[Task Name]]="",FALSE(),AND(Tasks[[#This Row],[_IsLeaf]]=1,N(Tasks[[#This Row],[_Days]])=0))</f>
        <v>0</v>
      </c>
      <c r="GN38" s="89" t="n">
        <f aca="false">IF(Tasks[[#This Row],[Task Name]]="",0,IF(AND(Tasks[[#This Row],[_IsLeaf]]=1,NOT(Tasks[[#This Row],[_IsMilestone]]),N(Tasks[[#This Row],[Progress]])&gt;0),Tasks[[#This Row],[Start]],0))</f>
        <v>0</v>
      </c>
      <c r="GO38" s="89" t="n">
        <f aca="false">IF(Tasks[[#This Row],[_DoneFrom]]=0,0,IF(Tasks[[#This Row],[Progress]]&gt;=1,Tasks[[#This Row],[Finish]],MAX(Tasks[[#This Row],[_DoneFrom]],Tasks[[#This Row],[Start]]+ROUND((Tasks[[#This Row],[Finish]]-Tasks[[#This Row],[Start]]+1)*Tasks[[#This Row],[Progress]],0)-1)))</f>
        <v>0</v>
      </c>
      <c r="GP38" s="89" t="n">
        <f aca="false">IF(Tasks[[#This Row],[Task Name]]="",0,IF(OR(NOT(Tasks[[#This Row],[_IsLeaf]]=1),Tasks[[#This Row],[_IsMilestone]],N(Tasks[[#This Row],[Progress]])&gt;=1),0,IF(Tasks[[#This Row],[_DoneTo]]&gt;0,Tasks[[#This Row],[_DoneTo]]+1,Tasks[[#This Row],[Start]])))</f>
        <v>0</v>
      </c>
      <c r="GQ38" s="89" t="n">
        <f aca="false">IF(Tasks[[#This Row],[_RemFrom]]=0,0,Tasks[[#This Row],[Finish]])</f>
        <v>0</v>
      </c>
      <c r="GR38" s="88" t="b">
        <f aca="false">IF(Tasks[[#This Row],[Task Name]]="",FALSE(),OR(NOT(BaselineSet),N(Tasks[[#This Row],[Baseline Start]])&gt;0))</f>
        <v>0</v>
      </c>
      <c r="GS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8" s="90" t="str">
        <f aca="false">IF(Tasks[[#This Row],[_IsLeaf]]=1,Tasks[[#This Row],[_Row]],"")</f>
        <v/>
      </c>
      <c r="GW38" s="90" t="str">
        <f aca="false">IFERROR(INDEX(Tasks[UID],SMALL(Tasks[_PickKey],Tasks[[#This Row],[_Row]]))&amp;" "&amp;INDEX(Tasks[Task Name],SMALL(Tasks[_PickKey],Tasks[[#This Row],[_Row]])),"")</f>
        <v/>
      </c>
      <c r="GX38" s="42" t="str">
        <f aca="false">IF(Tasks[[#This Row],[Task Name]]="","",IF(Tasks[[#This Row],[_IsSummary]],NETWORKDAYS.INTL(Tasks[[#This Row],[Start]],Tasks[[#This Row],[Finish]],WorkWeek,Holidays),N(Tasks[[#This Row],[_Days]])))</f>
        <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3"/>
      <c r="U39" s="23"/>
      <c r="V39" s="83"/>
      <c r="W39" s="23"/>
      <c r="X39" s="83"/>
      <c r="Y39" s="23"/>
      <c r="Z39" s="83"/>
      <c r="AA39" s="23"/>
      <c r="AB39" s="23"/>
      <c r="AC39" s="7"/>
      <c r="AD39" s="7"/>
      <c r="AE39" s="62" t="str">
        <f aca="false">IF(Tasks[[#This Row],[Task Name]]="","",IF(Tasks[[#This Row],[_IsSummary]],MIN(INDEX(Tasks[_ShownFcstStart],Tasks[[#This Row],[_Row]]+1):INDEX(Tasks[_ShownFcstStart],Tasks[[#This Row],[_Row]]+Tasks[[#This Row],[_Descendants]])),Tasks[[#This Row],[_ShownFcstStart]]))</f>
        <v/>
      </c>
      <c r="AF39" s="62"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9" s="7"/>
      <c r="AK39" s="22"/>
      <c r="AL39" s="23"/>
      <c r="AM39" s="7"/>
      <c r="AN39" s="46"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2" t="str">
        <f aca="false">IF(Tasks[[#This Row],[Task Name]]="","",IF(N(Tasks[[#This Row],[Baseline Start]])&gt;0,Tasks[[#This Row],[Baseline Start]],Tasks[[#This Row],[_CalcStart]]))</f>
        <v/>
      </c>
      <c r="AR39" s="62" t="str">
        <f aca="false">IF(Tasks[[#This Row],[Task Name]]="","",IF(N(Tasks[[#This Row],[Baseline Finish]])&gt;0,Tasks[[#This Row],[Baseline Finish]],Tasks[[#This Row],[_CalcFinish]]))</f>
        <v/>
      </c>
      <c r="AS39" s="46" t="str">
        <f aca="false">IF(Tasks[[#This Row],[Task Name]]="","",IF(Tasks[[#This Row],[Start]]&gt;=Tasks[[#This Row],[Planned Start]],NETWORKDAYS.INTL(Tasks[[#This Row],[Planned Start]],Tasks[[#This Row],[Start]],WorkWeek,Holidays)-1,1-NETWORKDAYS.INTL(Tasks[[#This Row],[Start]],Tasks[[#This Row],[Planned Start]],WorkWeek,Holidays)))</f>
        <v/>
      </c>
      <c r="AT39" s="62" t="str">
        <f aca="false">IF(Tasks[[#This Row],[Task Name]]="","",IF(Tasks[[#This Row],[_IsSummary]],MIN(INDEX(Tasks[_LeafLateStart],Tasks[[#This Row],[_Row]]+1):INDEX(Tasks[_LeafLateStart],Tasks[[#This Row],[_Row]]+Tasks[[#This Row],[_Descendants]])),Tasks[[#This Row],[_LeafLateStart]]))</f>
        <v/>
      </c>
      <c r="AU39" s="62" t="str">
        <f aca="false">IF(Tasks[[#This Row],[Task Name]]="","",IF(Tasks[[#This Row],[_IsSummary]],MAX(INDEX(Tasks[_LeafLateFinish],Tasks[[#This Row],[_Row]]+1):INDEX(Tasks[_LeafLateFinish],Tasks[[#This Row],[_Row]]+Tasks[[#This Row],[_Descendants]])),Tasks[[#This Row],[_LeafLateFinish]]))</f>
        <v/>
      </c>
      <c r="AV39" s="46"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4"/>
      <c r="BA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5"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6"/>
      <c r="BJ39" s="22"/>
      <c r="BK39" s="46" t="str">
        <f aca="false">IF(OR(Tasks[[#This Row],[Task Name]]="",Tasks[[#This Row],[Baseline Duration]]=""),"",Tasks[[#This Row],[_SpanDays]]-N(Tasks[[#This Row],[Baseline Duration]]))</f>
        <v/>
      </c>
      <c r="BL39" s="85" t="str">
        <f aca="false">IF(OR(Tasks[[#This Row],[Task Name]]="",Tasks[[#This Row],[Baseline Work]]=""),"",Tasks[[#This Row],[Work]]-N(Tasks[[#This Row],[Baseline Work]]))</f>
        <v/>
      </c>
      <c r="BM39" s="62" t="str">
        <f aca="false">IF(Tasks[[#This Row],[Task Name]]="","",IF(OR(TakeBaseline="Yes",N(Tasks[[#This Row],[Baseline Start]])=0),Tasks[[#This Row],[Start]],Tasks[[#This Row],[Baseline Start]]))</f>
        <v/>
      </c>
      <c r="BN39" s="62"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5" t="str">
        <f aca="false">IF(Tasks[[#This Row],[Task Name]]="","",IF(OR(TakeBaseline="Yes",N(Tasks[[#This Row],[Baseline Work]])=0),Tasks[[#This Row],[Work]],Tasks[[#This Row],[Baseline Work]]))</f>
        <v/>
      </c>
      <c r="BQ39" s="7"/>
      <c r="BR39" s="7"/>
      <c r="BS39" s="22"/>
      <c r="BT39" s="87"/>
      <c r="BU39" s="42" t="str">
        <f aca="false">IF(Tasks[[#This Row],[Task Name]]="","",MAX(1,N(Tasks[[#This Row],[Level]])))</f>
        <v/>
      </c>
      <c r="BV39" s="42" t="n">
        <f aca="false">ROW()-ROW(Tasks[[#Headers],[ID]])</f>
        <v>34</v>
      </c>
      <c r="BW39" s="42" t="n">
        <f aca="false">IF(OR(Tasks[[#This Row],[Task Name]]="",Tasks[[#This Row],[_Level]]&lt;=1),0,IFERROR(LOOKUP(2,1/(Tasks[[#Headers],[_Level]]:Tasks[[#This Row],[_Level]]=Tasks[[#This Row],[_Level]]-1),ROW(Tasks[[#Headers],[_Level]]:Tasks[[#This Row],[_Level]])),0))</f>
        <v>0</v>
      </c>
      <c r="BX39" s="42" t="n">
        <f aca="false">IFERROR(N(INDEX(Tasks[_Level],Tasks[[#This Row],[_Row]]+1)),0)</f>
        <v>0</v>
      </c>
      <c r="BY39" s="88" t="b">
        <f aca="false">AND(Tasks[[#This Row],[Task Name]]&lt;&gt;"",Tasks[[#This Row],[_NextLevel]]&gt;Tasks[[#This Row],[_Level]])</f>
        <v>0</v>
      </c>
      <c r="BZ39" s="42" t="n">
        <f aca="false">IF(Tasks[[#This Row],[_IsSummary]],COUNTIF(Tasks[WBS],Tasks[[#This Row],[WBS]]&amp;".*"),0)</f>
        <v>0</v>
      </c>
      <c r="CA39" s="42" t="n">
        <f aca="false">IF(AND(Tasks[[#This Row],[Task Name]]&lt;&gt;"",NOT(Tasks[[#This Row],[_IsSummary]])),1,0)</f>
        <v>0</v>
      </c>
      <c r="CB39" s="42" t="n">
        <f aca="false">IF(N(Tasks[[#This Row],[_Pred1UID]])=0,0,IFERROR(MATCH(Tasks[[#This Row],[_Pred1UID]],Tasks[UID],0),-1))</f>
        <v>0</v>
      </c>
      <c r="CC39" s="42" t="n">
        <f aca="false">IF(N(Tasks[[#This Row],[_Pred2UID]])=0,0,IFERROR(MATCH(Tasks[[#This Row],[_Pred2UID]],Tasks[UID],0),-1))</f>
        <v>0</v>
      </c>
      <c r="CD39" s="42" t="n">
        <f aca="false">IF(N(Tasks[[#This Row],[_Pred3UID]])=0,0,IFERROR(MATCH(Tasks[[#This Row],[_Pred3UID]],Tasks[UID],0),-1))</f>
        <v>0</v>
      </c>
      <c r="CE39" s="42" t="n">
        <f aca="false">IF(N(Tasks[[#This Row],[_Pred4UID]])=0,0,IFERROR(MATCH(Tasks[[#This Row],[_Pred4UID]],Tasks[UID],0),-1))</f>
        <v>0</v>
      </c>
      <c r="CF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9" s="89" t="n">
        <f aca="false">IF(OR(Tasks[[#This Row],[_ConstraintCode]]=2,Tasks[[#This Row],[_ConstraintCode]]=3,Tasks[[#This Row],[_ConstraintCode]]=4,Tasks[[#This Row],[_ConstraintCode]]=6),Tasks[[#This Row],[_ConstraintStart]],0)</f>
        <v>0</v>
      </c>
      <c r="CI39" s="89" t="n">
        <f aca="false">IF(OR(Tasks[[#This Row],[_ConstraintCode]]=2,Tasks[[#This Row],[_ConstraintCode]]=3,Tasks[[#This Row],[_ConstraintCode]]=5,Tasks[[#This Row],[_ConstraintCode]]=7),Tasks[[#This Row],[_ConstraintStart]],2958465)</f>
        <v>2958465</v>
      </c>
      <c r="CJ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9" s="89" t="str">
        <f aca="false">IF(NOT(Tasks[[#This Row],[_IsLeaf]]=1),"",IF(N(Tasks[[#This Row],[_Days]])&lt;=0,Tasks[[#This Row],[_LeafCalcStart]],WORKDAY.INTL(Tasks[[#This Row],[_LeafCalcStart]],Tasks[[#This Row],[_Days]]-1,WorkWeek,Holidays)))</f>
        <v/>
      </c>
      <c r="CL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9" s="42" t="str">
        <f aca="false">IF(Tasks[[#This Row],[_Predecessors]]="","",TRIM(MID(SUBSTITUTE(SUBSTITUTE(SUBSTITUTE(UPPER(Tasks[[#This Row],[_Predecessors]]),";",",")," ",""),",",REPT(" ",99)),1,99)))</f>
        <v/>
      </c>
      <c r="CO39" s="42" t="str">
        <f aca="false">IF(Tasks[[#This Row],[_Pred1Text]]="","",IFERROR(VALUE(LEFT(Tasks[[#This Row],[_Pred1Text]],MIN(FIND("F",Tasks[[#This Row],[_Pred1Text]]&amp;"F"),FIND("S",Tasks[[#This Row],[_Pred1Text]]&amp;"S"),FIND("+",Tasks[[#This Row],[_Pred1Text]]&amp;"+"),FIND("-",Tasks[[#This Row],[_Pred1Text]]&amp;"-"))-1)),""))</f>
        <v/>
      </c>
      <c r="CP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9" s="42" t="str">
        <f aca="false">IF(Tasks[[#This Row],[_Pred1Text]]="","",TRIM(MID(SUBSTITUTE(SUBSTITUTE(SUBSTITUTE(UPPER(Tasks[[#This Row],[_Predecessors]]),";",",")," ",""),",",REPT(" ",99)),100,99)))</f>
        <v/>
      </c>
      <c r="CS39" s="42" t="str">
        <f aca="false">IF(Tasks[[#This Row],[_Pred2Text]]="","",IFERROR(VALUE(LEFT(Tasks[[#This Row],[_Pred2Text]],MIN(FIND("F",Tasks[[#This Row],[_Pred2Text]]&amp;"F"),FIND("S",Tasks[[#This Row],[_Pred2Text]]&amp;"S"),FIND("+",Tasks[[#This Row],[_Pred2Text]]&amp;"+"),FIND("-",Tasks[[#This Row],[_Pred2Text]]&amp;"-"))-1)),""))</f>
        <v/>
      </c>
      <c r="CT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9" s="42" t="str">
        <f aca="false">IF(Tasks[[#This Row],[_Pred2Text]]="","",TRIM(MID(SUBSTITUTE(SUBSTITUTE(SUBSTITUTE(UPPER(Tasks[[#This Row],[_Predecessors]]),";",",")," ",""),",",REPT(" ",99)),199,99)))</f>
        <v/>
      </c>
      <c r="CW39" s="42" t="str">
        <f aca="false">IF(Tasks[[#This Row],[_Pred3Text]]="","",IFERROR(VALUE(LEFT(Tasks[[#This Row],[_Pred3Text]],MIN(FIND("F",Tasks[[#This Row],[_Pred3Text]]&amp;"F"),FIND("S",Tasks[[#This Row],[_Pred3Text]]&amp;"S"),FIND("+",Tasks[[#This Row],[_Pred3Text]]&amp;"+"),FIND("-",Tasks[[#This Row],[_Pred3Text]]&amp;"-"))-1)),""))</f>
        <v/>
      </c>
      <c r="CX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9" s="42" t="str">
        <f aca="false">IF(Tasks[[#This Row],[_Pred3Text]]="","",TRIM(MID(SUBSTITUTE(SUBSTITUTE(SUBSTITUTE(UPPER(Tasks[[#This Row],[_Predecessors]]),";",",")," ",""),",",REPT(" ",99)),298,99)))</f>
        <v/>
      </c>
      <c r="DA39" s="42" t="str">
        <f aca="false">IF(Tasks[[#This Row],[_Pred4Text]]="","",IFERROR(VALUE(LEFT(Tasks[[#This Row],[_Pred4Text]],MIN(FIND("F",Tasks[[#This Row],[_Pred4Text]]&amp;"F"),FIND("S",Tasks[[#This Row],[_Pred4Text]]&amp;"S"),FIND("+",Tasks[[#This Row],[_Pred4Text]]&amp;"+"),FIND("-",Tasks[[#This Row],[_Pred4Text]]&amp;"-"))-1)),""))</f>
        <v/>
      </c>
      <c r="DB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9" s="42" t="str">
        <f aca="false">IF(OR(Tasks[[#This Row],[Task Name]]="",Tasks[[#This Row],[_Resources]]=""),"",TRIM(MID(SUBSTITUTE(Tasks[[#This Row],[_Resources]],",",REPT(" ",99)),1,99)))</f>
        <v/>
      </c>
      <c r="DE39" s="42" t="str">
        <f aca="false">IF(Tasks[[#This Row],[_Res1Text]]="","",TRIM(MID(SUBSTITUTE(Tasks[[#This Row],[_Resources]],",",REPT(" ",99)),100,99)))</f>
        <v/>
      </c>
      <c r="DF39" s="42" t="str">
        <f aca="false">IF(Tasks[[#This Row],[_Res2Text]]="","",TRIM(MID(SUBSTITUTE(Tasks[[#This Row],[_Resources]],",",REPT(" ",99)),199,99)))</f>
        <v/>
      </c>
      <c r="DG39" s="42" t="str">
        <f aca="false">IF(Tasks[[#This Row],[_Res3Text]]="","",TRIM(MID(SUBSTITUTE(Tasks[[#This Row],[_Resources]],",",REPT(" ",99)),298,99)))</f>
        <v/>
      </c>
      <c r="DH39" s="42" t="n">
        <f aca="false">IF(Tasks[[#This Row],[_Res1Text]]="",0,IFERROR(MATCH(TRIM(LEFT(Tasks[[#This Row],[_Res1Text]],FIND("[",Tasks[[#This Row],[_Res1Text]]&amp;"[")-1)),res_Name,0),IFERROR(MATCH(TRIM(LEFT(Tasks[[#This Row],[_Res1Text]],FIND("[",Tasks[[#This Row],[_Res1Text]]&amp;"[")-1)),res_Initials,0),0)))</f>
        <v>0</v>
      </c>
      <c r="DI39" s="42" t="n">
        <f aca="false">IF(Tasks[[#This Row],[_Res2Text]]="",0,IFERROR(MATCH(TRIM(LEFT(Tasks[[#This Row],[_Res2Text]],FIND("[",Tasks[[#This Row],[_Res2Text]]&amp;"[")-1)),res_Name,0),IFERROR(MATCH(TRIM(LEFT(Tasks[[#This Row],[_Res2Text]],FIND("[",Tasks[[#This Row],[_Res2Text]]&amp;"[")-1)),res_Initials,0),0)))</f>
        <v>0</v>
      </c>
      <c r="DJ39" s="42" t="n">
        <f aca="false">IF(Tasks[[#This Row],[_Res3Text]]="",0,IFERROR(MATCH(TRIM(LEFT(Tasks[[#This Row],[_Res3Text]],FIND("[",Tasks[[#This Row],[_Res3Text]]&amp;"[")-1)),res_Name,0),IFERROR(MATCH(TRIM(LEFT(Tasks[[#This Row],[_Res3Text]],FIND("[",Tasks[[#This Row],[_Res3Text]]&amp;"[")-1)),res_Initials,0),0)))</f>
        <v>0</v>
      </c>
      <c r="DK39" s="42" t="n">
        <f aca="false">IF(Tasks[[#This Row],[_Res4Text]]="",0,IFERROR(MATCH(TRIM(LEFT(Tasks[[#This Row],[_Res4Text]],FIND("[",Tasks[[#This Row],[_Res4Text]]&amp;"[")-1)),res_Name,0),IFERROR(MATCH(TRIM(LEFT(Tasks[[#This Row],[_Res4Text]],FIND("[",Tasks[[#This Row],[_Res4Text]]&amp;"[")-1)),res_Initials,0),0)))</f>
        <v>0</v>
      </c>
      <c r="DL39" s="42" t="str">
        <f aca="false">IF(Tasks[[#This Row],[_Res1Text]]="","",IF(Tasks[[#This Row],[_Res1Row]]&gt;0,INDEX(res_Name,Tasks[[#This Row],[_Res1Row]]),TRIM(LEFT(Tasks[[#This Row],[_Res1Text]],FIND("[",Tasks[[#This Row],[_Res1Text]]&amp;"[")-1))))</f>
        <v/>
      </c>
      <c r="DM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9" s="42" t="n">
        <f aca="false">IF(NOT(Tasks[[#This Row],[_IsLeaf]]=1),0,(Tasks[[#This Row],[_Resource1]]&lt;&gt;"")+(Tasks[[#This Row],[_Res2]]&lt;&gt;"")+(Tasks[[#This Row],[_Res3]]&lt;&gt;"")+(Tasks[[#This Row],[_Res4]]&lt;&gt;""))</f>
        <v>0</v>
      </c>
      <c r="DO39" s="42" t="str">
        <f aca="false">IF(Tasks[[#This Row],[_Res2Text]]="","",IF(Tasks[[#This Row],[_Res2Row]]&gt;0,INDEX(res_Name,Tasks[[#This Row],[_Res2Row]]),TRIM(LEFT(Tasks[[#This Row],[_Res2Text]],FIND("[",Tasks[[#This Row],[_Res2Text]]&amp;"[")-1))))</f>
        <v/>
      </c>
      <c r="DP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9" s="42" t="n">
        <f aca="false">IF(OR(NOT(Tasks[[#This Row],[_IsLeaf]]=1),Tasks[[#This Row],[_Res2Row]]=0),0,N(Tasks[[#This Row],[_Days]])*HoursPerDay*IF(Tasks[[#This Row],[_Res2Units]]="",DefaultUnits,Tasks[[#This Row],[_Res2Units]]))</f>
        <v>0</v>
      </c>
      <c r="DR39" s="42" t="n">
        <f aca="false">IF(AND(AND(Tasks[[#This Row],[_IsLeaf]]=1,Tasks[[#This Row],[_LeafTotalWork]]&gt;0),Tasks[[#This Row],[_Res2Work]]&gt;0),Tasks[[#This Row],[_Res2Work]]/(Tasks[[#This Row],[_FinishWorkday]]-Tasks[[#This Row],[_StartWorkday]]+1),0)</f>
        <v>0</v>
      </c>
      <c r="DS39" s="42" t="n">
        <f aca="false">Tasks[[#This Row],[_Res2WorkPerWD]]*MAX(0,Tasks[[#This Row],[_StartWorkday]]-1)</f>
        <v>0</v>
      </c>
      <c r="DT39" s="42" t="n">
        <f aca="false">Tasks[[#This Row],[_Res2Work]]*Tasks[[#This Row],[_LeafProgress]]</f>
        <v>0</v>
      </c>
      <c r="DU39" s="42" t="str">
        <f aca="false">IF(Tasks[[#This Row],[_Res3Text]]="","",IF(Tasks[[#This Row],[_Res3Row]]&gt;0,INDEX(res_Name,Tasks[[#This Row],[_Res3Row]]),TRIM(LEFT(Tasks[[#This Row],[_Res3Text]],FIND("[",Tasks[[#This Row],[_Res3Text]]&amp;"[")-1))))</f>
        <v/>
      </c>
      <c r="DV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9" s="42" t="n">
        <f aca="false">IF(OR(NOT(Tasks[[#This Row],[_IsLeaf]]=1),Tasks[[#This Row],[_Res3Row]]=0),0,N(Tasks[[#This Row],[_Days]])*HoursPerDay*IF(Tasks[[#This Row],[_Res3Units]]="",DefaultUnits,Tasks[[#This Row],[_Res3Units]]))</f>
        <v>0</v>
      </c>
      <c r="DX39" s="42" t="n">
        <f aca="false">IF(AND(AND(Tasks[[#This Row],[_IsLeaf]]=1,Tasks[[#This Row],[_LeafTotalWork]]&gt;0),Tasks[[#This Row],[_Res3Work]]&gt;0),Tasks[[#This Row],[_Res3Work]]/(Tasks[[#This Row],[_FinishWorkday]]-Tasks[[#This Row],[_StartWorkday]]+1),0)</f>
        <v>0</v>
      </c>
      <c r="DY39" s="42" t="n">
        <f aca="false">Tasks[[#This Row],[_Res3WorkPerWD]]*MAX(0,Tasks[[#This Row],[_StartWorkday]]-1)</f>
        <v>0</v>
      </c>
      <c r="DZ39" s="42" t="n">
        <f aca="false">Tasks[[#This Row],[_Res3Work]]*Tasks[[#This Row],[_LeafProgress]]</f>
        <v>0</v>
      </c>
      <c r="EA39" s="42" t="str">
        <f aca="false">IF(Tasks[[#This Row],[_Res4Text]]="","",IF(Tasks[[#This Row],[_Res4Row]]&gt;0,INDEX(res_Name,Tasks[[#This Row],[_Res4Row]]),TRIM(LEFT(Tasks[[#This Row],[_Res4Text]],FIND("[",Tasks[[#This Row],[_Res4Text]]&amp;"[")-1))))</f>
        <v/>
      </c>
      <c r="EB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9" s="42" t="n">
        <f aca="false">IF(OR(NOT(Tasks[[#This Row],[_IsLeaf]]=1),Tasks[[#This Row],[_Res4Row]]=0),0,N(Tasks[[#This Row],[_Days]])*HoursPerDay*IF(Tasks[[#This Row],[_Res4Units]]="",DefaultUnits,Tasks[[#This Row],[_Res4Units]]))</f>
        <v>0</v>
      </c>
      <c r="ED39" s="42" t="n">
        <f aca="false">IF(AND(AND(Tasks[[#This Row],[_IsLeaf]]=1,Tasks[[#This Row],[_LeafTotalWork]]&gt;0),Tasks[[#This Row],[_Res4Work]]&gt;0),Tasks[[#This Row],[_Res4Work]]/(Tasks[[#This Row],[_FinishWorkday]]-Tasks[[#This Row],[_StartWorkday]]+1),0)</f>
        <v>0</v>
      </c>
      <c r="EE39" s="42" t="n">
        <f aca="false">Tasks[[#This Row],[_Res4WorkPerWD]]*MAX(0,Tasks[[#This Row],[_StartWorkday]]-1)</f>
        <v>0</v>
      </c>
      <c r="EF39" s="42" t="n">
        <f aca="false">Tasks[[#This Row],[_Res4Work]]*Tasks[[#This Row],[_LeafProgress]]</f>
        <v>0</v>
      </c>
      <c r="EG39" s="42" t="n">
        <f aca="false">IF(ISNUMBER(Tasks[[#This Row],[% Complete]]),Tasks[[#This Row],[% Complete]],IF(Tasks[[#This Row],[Stage]]="",0,IFERROR(INDEX(stg_Pct,MATCH(Tasks[[#This Row],[Stage]],stg_Name,0)),0)))</f>
        <v>0</v>
      </c>
      <c r="EH39" s="42" t="n">
        <f aca="false">IF(NOT(Tasks[[#This Row],[_IsLeaf]]=1),0,IF(N(Tasks[[#This Row],[Actual Finish]])&gt;0,1,MIN(1,Tasks[[#This Row],[_Pct]])))</f>
        <v>0</v>
      </c>
      <c r="EI39" s="42" t="n">
        <f aca="false">IF(OR(NOT(Tasks[[#This Row],[_IsLeaf]]=1),Tasks[[#This Row],[_Res1Row]]=0),0,N(Tasks[[#This Row],[_Days]])*HoursPerDay*IF(Tasks[[#This Row],[_Units1]]="",DefaultUnits,Tasks[[#This Row],[_Units1]]))</f>
        <v>0</v>
      </c>
      <c r="EJ39" s="42" t="n">
        <f aca="false">Tasks[[#This Row],[_LeafWork]]+Tasks[[#This Row],[_Res2Work]]+Tasks[[#This Row],[_Res3Work]]+Tasks[[#This Row],[_Res4Work]]</f>
        <v>0</v>
      </c>
      <c r="EK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9" s="42" t="n">
        <f aca="false">IF(NOT(Tasks[[#This Row],[_IsLeaf]]=1),0,MAX(_xlfn.MAXIFS(Tasks[_Row],Tasks[_Pred1UID],Tasks[[#This Row],[UID]]),_xlfn.MAXIFS(Tasks[_Row],Tasks[_Pred2UID],Tasks[[#This Row],[UID]]),_xlfn.MAXIFS(Tasks[_Row],Tasks[_Pred3UID],Tasks[[#This Row],[UID]]),_xlfn.MAXIFS(Tasks[_Row],Tasks[_Pred4UID],Tasks[[#This Row],[UID]])))</f>
        <v>0</v>
      </c>
      <c r="ET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9" s="89" t="str">
        <f aca="false">IF(NOT(Tasks[[#This Row],[_IsLeaf]]=1),"",IF(N(Tasks[[#This Row],[_Days]])&lt;=0,Tasks[[#This Row],[_LeafLateFinish]],WORKDAY.INTL(Tasks[[#This Row],[_LeafLateFinish]],-(Tasks[[#This Row],[_Days]]-1),WorkWeek,Holidays)))</f>
        <v/>
      </c>
      <c r="EW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9" s="88" t="b">
        <f aca="false">AND(Tasks[[#This Row],[_IsLeaf]]=1,Tasks[[#This Row],[_LeafProgress]]&lt;1,N(Tasks[[#This Row],[_LeafTotalSlack]])&lt;=CriticalSlackDays)</f>
        <v>0</v>
      </c>
      <c r="EY39" s="42" t="n">
        <f aca="false">IF(AND(Tasks[[#This Row],[_IsLeaf]]=1,Tasks[[#This Row],[_ConstraintCode]]=1,Tasks[[#This Row],[Mode]]&lt;&gt;"Manual",N(Tasks[[#This Row],[Actual Start]])=0),MAX(0,N(Tasks[[#This Row],[Free Slack]])),0)</f>
        <v>0</v>
      </c>
      <c r="EZ39" s="89" t="str">
        <f aca="false">IF(NOT(Tasks[[#This Row],[_IsLeaf]]=1),"",IF(Tasks[[#This Row],[_AlapShift]]=0,Tasks[[#This Row],[_LeafCalcStart]],WORKDAY.INTL(Tasks[[#This Row],[_LeafCalcStart]],Tasks[[#This Row],[_AlapShift]],WorkWeek,Holidays)))</f>
        <v/>
      </c>
      <c r="FA39" s="89" t="str">
        <f aca="false">IF(NOT(Tasks[[#This Row],[_IsLeaf]]=1),"",IF(Tasks[[#This Row],[_AlapShift]]=0,Tasks[[#This Row],[_LeafCalcFinish]],WORKDAY.INTL(Tasks[[#This Row],[_LeafCalcFinish]],Tasks[[#This Row],[_AlapShift]],WorkWeek,Holidays)))</f>
        <v/>
      </c>
      <c r="FB39" s="89" t="str">
        <f aca="false">IF(NOT(Tasks[[#This Row],[_IsLeaf]]=1),"",IF(Tasks[[#This Row],[_AlapShift]]=0,Tasks[[#This Row],[_LeafFcstStart]],WORKDAY.INTL(Tasks[[#This Row],[_LeafFcstStart]],Tasks[[#This Row],[_AlapShift]],WorkWeek,Holidays)))</f>
        <v/>
      </c>
      <c r="FC39" s="89" t="str">
        <f aca="false">IF(NOT(Tasks[[#This Row],[_IsLeaf]]=1),"",IF(Tasks[[#This Row],[_AlapShift]]=0,Tasks[[#This Row],[_LeafFcstFinish]],WORKDAY.INTL(Tasks[[#This Row],[_LeafFcstFinish]],Tasks[[#This Row],[_AlapShift]],WorkWeek,Holidays)))</f>
        <v/>
      </c>
      <c r="FD39" s="89" t="str">
        <f aca="false">IF(Tasks[[#This Row],[Task Name]]="","",IF(Tasks[[#This Row],[_IsSummary]],MIN(INDEX(Tasks[_ShownCalcStart],Tasks[[#This Row],[_Row]]+1):INDEX(Tasks[_ShownCalcStart],Tasks[[#This Row],[_Row]]+Tasks[[#This Row],[_Descendants]])),Tasks[[#This Row],[_ShownCalcStart]]))</f>
        <v/>
      </c>
      <c r="FE39" s="89" t="str">
        <f aca="false">IF(Tasks[[#This Row],[Task Name]]="","",IF(Tasks[[#This Row],[_IsSummary]],MAX(INDEX(Tasks[_ShownCalcFinish],Tasks[[#This Row],[_Row]]+1):INDEX(Tasks[_ShownCalcFinish],Tasks[[#This Row],[_Row]]+Tasks[[#This Row],[_Descendants]])),Tasks[[#This Row],[_ShownCalcFinish]]))</f>
        <v/>
      </c>
      <c r="FF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9" s="42" t="n">
        <f aca="false">IF(AND(Tasks[[#This Row],[_IsLeaf]]=1,Tasks[[#This Row],[_LeafTotalWork]]&gt;0),NETWORKDAYS.INTL(ProjectStart,Tasks[[#This Row],[_ShownFcstStart]],WorkWeek,Holidays),0)</f>
        <v>0</v>
      </c>
      <c r="FS39" s="42" t="n">
        <f aca="false">IF(AND(Tasks[[#This Row],[_IsLeaf]]=1,Tasks[[#This Row],[_LeafTotalWork]]&gt;0),MAX(Tasks[[#This Row],[_StartWorkday]],NETWORKDAYS.INTL(ProjectStart,Tasks[[#This Row],[_ShownFcstFinish]],WorkWeek,Holidays)),0)</f>
        <v>0</v>
      </c>
      <c r="FT39" s="42" t="n">
        <f aca="false">IF(AND(Tasks[[#This Row],[_IsLeaf]]=1,Tasks[[#This Row],[_LeafTotalWork]]&gt;0),Tasks[[#This Row],[_LeafWork]]/(Tasks[[#This Row],[_FinishWorkday]]-Tasks[[#This Row],[_StartWorkday]]+1),0)</f>
        <v>0</v>
      </c>
      <c r="FU39" s="42" t="n">
        <f aca="false">Tasks[[#This Row],[_WorkPerWorkday]]*(Tasks[[#This Row],[_StartWorkday]]-1)</f>
        <v>-0</v>
      </c>
      <c r="FV39" s="42" t="n">
        <f aca="false">IF(Tasks[[#This Row],[_IsLeaf]]=1,MAX(N(Tasks[[#This Row],[_Days]]),0.1),0)</f>
        <v>0</v>
      </c>
      <c r="FW39" s="42" t="n">
        <f aca="false">Tasks[[#This Row],[_WeightDur]]*Tasks[[#This Row],[_LeafProgress]]</f>
        <v>0</v>
      </c>
      <c r="FX39" s="42" t="n">
        <f aca="false">Tasks[[#This Row],[_WeightDur]]*Tasks[[#This Row],[_PlannedPct]]</f>
        <v>0</v>
      </c>
      <c r="FY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9" s="42" t="str">
        <f aca="false">IF(AND(Tasks[[#This Row],[_IsLeaf]]=1,N(Tasks[[#This Row],[_Days]])=0,Tasks[[#This Row],[_LeafProgress]]&lt;1),Tasks[[#This Row],[_ShownFcstFinish]]+Tasks[[#This Row],[_Row]]/100000,"")</f>
        <v/>
      </c>
      <c r="GA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9" s="42" t="str">
        <f aca="false">IF(Tasks[[#This Row],[Task Name]]="","",LEFT(Tasks[[#This Row],[WBS]],FIND(".",Tasks[[#This Row],[WBS]]&amp;".")-1))</f>
        <v/>
      </c>
      <c r="GC39" s="42" t="str">
        <f aca="false">IF(AND(Tasks[[#This Row],[Task Name]]&lt;&gt;"",Tasks[[#This Row],[_Level]]=1),Tasks[[#This Row],[_Row]],"")</f>
        <v/>
      </c>
      <c r="GD39" s="42" t="str">
        <f aca="false">IF(AND(Tasks[[#This Row],[_IsLeaf]]=1,N(Tasks[[#This Row],[_Days]])=0),Tasks[[#This Row],[Planned Finish]]+Tasks[[#This Row],[_Row]]/100000,"")</f>
        <v/>
      </c>
      <c r="GE39" s="42" t="str">
        <f aca="false">IF(AND(Tasks[[#This Row],[_IsLeaf]]=1,Tasks[[#This Row],[_LeafProgress]]&lt;1,OR(N(Tasks[[#This Row],[Finish Var]])&gt;0,Tasks[[#This Row],[Status]]="Late Start")),MAX(0,Tasks[[#This Row],[Finish Var]])+1-Tasks[[#This Row],[_Row]]/1000000,"")</f>
        <v/>
      </c>
      <c r="GF39" s="42" t="str">
        <f aca="false">IF(AND(Tasks[[#This Row],[_IsLeaf]]=1,N(Tasks[[#This Row],[Actual Start]])=0,Tasks[[#This Row],[_ShownFcstStart]]&gt;=StatusDate,Tasks[[#This Row],[_ShownFcstStart]]&lt;=LookaheadEnd),Tasks[[#This Row],[_ShownFcstStart]]+Tasks[[#This Row],[_Row]]/100000,"")</f>
        <v/>
      </c>
      <c r="GG39" s="42" t="str">
        <f aca="false">IF(AND(Tasks[[#This Row],[_IsLeaf]]=1,Tasks[[#This Row],[_LeafProgress]]&lt;1,Tasks[[#This Row],[_ShownFcstFinish]]&gt;=StatusDate,Tasks[[#This Row],[_ShownFcstFinish]]&lt;=LookaheadEnd),Tasks[[#This Row],[_ShownFcstFinish]]+Tasks[[#This Row],[_Row]]/100000,"")</f>
        <v/>
      </c>
      <c r="GH39" s="42" t="str">
        <f aca="false">IF(Tasks[[#This Row],[_LeafCritical]],Tasks[[#This Row],[_ShownFcstStart]]+Tasks[[#This Row],[_Row]]/100000,"")</f>
        <v/>
      </c>
      <c r="GI39" s="42" t="n">
        <f aca="false">Tasks[[#This Row],[_LeafWork]]*Tasks[[#This Row],[_LeafProgress]]</f>
        <v>0</v>
      </c>
      <c r="GJ39" s="89" t="str">
        <f aca="false">IF(AND(Tasks[[#This Row],[_IsLeaf]]=1,Tasks[[#This Row],[_LeafProgress]]&gt;=1),IF(N(Tasks[[#This Row],[Actual Finish]])&gt;0,Tasks[[#This Row],[Actual Finish]],Tasks[[#This Row],[_ShownFcstFinish]]),"")</f>
        <v/>
      </c>
      <c r="GK39" s="42" t="n">
        <f aca="false">IF(Tasks[[#This Row],[_IsLeaf]]=1,N(Tasks[[#This Row],[Story Points]]),0)</f>
        <v>0</v>
      </c>
      <c r="GL39" s="42" t="str">
        <f aca="false">""</f>
        <v/>
      </c>
      <c r="GM39" s="88" t="b">
        <f aca="false">IF(Tasks[[#This Row],[Task Name]]="",FALSE(),AND(Tasks[[#This Row],[_IsLeaf]]=1,N(Tasks[[#This Row],[_Days]])=0))</f>
        <v>0</v>
      </c>
      <c r="GN39" s="89" t="n">
        <f aca="false">IF(Tasks[[#This Row],[Task Name]]="",0,IF(AND(Tasks[[#This Row],[_IsLeaf]]=1,NOT(Tasks[[#This Row],[_IsMilestone]]),N(Tasks[[#This Row],[Progress]])&gt;0),Tasks[[#This Row],[Start]],0))</f>
        <v>0</v>
      </c>
      <c r="GO39" s="89" t="n">
        <f aca="false">IF(Tasks[[#This Row],[_DoneFrom]]=0,0,IF(Tasks[[#This Row],[Progress]]&gt;=1,Tasks[[#This Row],[Finish]],MAX(Tasks[[#This Row],[_DoneFrom]],Tasks[[#This Row],[Start]]+ROUND((Tasks[[#This Row],[Finish]]-Tasks[[#This Row],[Start]]+1)*Tasks[[#This Row],[Progress]],0)-1)))</f>
        <v>0</v>
      </c>
      <c r="GP39" s="89" t="n">
        <f aca="false">IF(Tasks[[#This Row],[Task Name]]="",0,IF(OR(NOT(Tasks[[#This Row],[_IsLeaf]]=1),Tasks[[#This Row],[_IsMilestone]],N(Tasks[[#This Row],[Progress]])&gt;=1),0,IF(Tasks[[#This Row],[_DoneTo]]&gt;0,Tasks[[#This Row],[_DoneTo]]+1,Tasks[[#This Row],[Start]])))</f>
        <v>0</v>
      </c>
      <c r="GQ39" s="89" t="n">
        <f aca="false">IF(Tasks[[#This Row],[_RemFrom]]=0,0,Tasks[[#This Row],[Finish]])</f>
        <v>0</v>
      </c>
      <c r="GR39" s="88" t="b">
        <f aca="false">IF(Tasks[[#This Row],[Task Name]]="",FALSE(),OR(NOT(BaselineSet),N(Tasks[[#This Row],[Baseline Start]])&gt;0))</f>
        <v>0</v>
      </c>
      <c r="GS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9" s="90" t="str">
        <f aca="false">IF(Tasks[[#This Row],[_IsLeaf]]=1,Tasks[[#This Row],[_Row]],"")</f>
        <v/>
      </c>
      <c r="GW39" s="90" t="str">
        <f aca="false">IFERROR(INDEX(Tasks[UID],SMALL(Tasks[_PickKey],Tasks[[#This Row],[_Row]]))&amp;" "&amp;INDEX(Tasks[Task Name],SMALL(Tasks[_PickKey],Tasks[[#This Row],[_Row]])),"")</f>
        <v/>
      </c>
      <c r="GX39" s="42" t="str">
        <f aca="false">IF(Tasks[[#This Row],[Task Name]]="","",IF(Tasks[[#This Row],[_IsSummary]],NETWORKDAYS.INTL(Tasks[[#This Row],[Start]],Tasks[[#This Row],[Finish]],WorkWeek,Holidays),N(Tasks[[#This Row],[_Days]])))</f>
        <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3"/>
      <c r="U40" s="23"/>
      <c r="V40" s="83"/>
      <c r="W40" s="23"/>
      <c r="X40" s="83"/>
      <c r="Y40" s="23"/>
      <c r="Z40" s="83"/>
      <c r="AA40" s="23"/>
      <c r="AB40" s="23"/>
      <c r="AC40" s="7"/>
      <c r="AD40" s="7"/>
      <c r="AE40" s="62" t="str">
        <f aca="false">IF(Tasks[[#This Row],[Task Name]]="","",IF(Tasks[[#This Row],[_IsSummary]],MIN(INDEX(Tasks[_ShownFcstStart],Tasks[[#This Row],[_Row]]+1):INDEX(Tasks[_ShownFcstStart],Tasks[[#This Row],[_Row]]+Tasks[[#This Row],[_Descendants]])),Tasks[[#This Row],[_ShownFcstStart]]))</f>
        <v/>
      </c>
      <c r="AF40" s="62"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0" s="7"/>
      <c r="AK40" s="22"/>
      <c r="AL40" s="23"/>
      <c r="AM40" s="7"/>
      <c r="AN40" s="46"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2" t="str">
        <f aca="false">IF(Tasks[[#This Row],[Task Name]]="","",IF(N(Tasks[[#This Row],[Baseline Start]])&gt;0,Tasks[[#This Row],[Baseline Start]],Tasks[[#This Row],[_CalcStart]]))</f>
        <v/>
      </c>
      <c r="AR40" s="62" t="str">
        <f aca="false">IF(Tasks[[#This Row],[Task Name]]="","",IF(N(Tasks[[#This Row],[Baseline Finish]])&gt;0,Tasks[[#This Row],[Baseline Finish]],Tasks[[#This Row],[_CalcFinish]]))</f>
        <v/>
      </c>
      <c r="AS40" s="46" t="str">
        <f aca="false">IF(Tasks[[#This Row],[Task Name]]="","",IF(Tasks[[#This Row],[Start]]&gt;=Tasks[[#This Row],[Planned Start]],NETWORKDAYS.INTL(Tasks[[#This Row],[Planned Start]],Tasks[[#This Row],[Start]],WorkWeek,Holidays)-1,1-NETWORKDAYS.INTL(Tasks[[#This Row],[Start]],Tasks[[#This Row],[Planned Start]],WorkWeek,Holidays)))</f>
        <v/>
      </c>
      <c r="AT40" s="62" t="str">
        <f aca="false">IF(Tasks[[#This Row],[Task Name]]="","",IF(Tasks[[#This Row],[_IsSummary]],MIN(INDEX(Tasks[_LeafLateStart],Tasks[[#This Row],[_Row]]+1):INDEX(Tasks[_LeafLateStart],Tasks[[#This Row],[_Row]]+Tasks[[#This Row],[_Descendants]])),Tasks[[#This Row],[_LeafLateStart]]))</f>
        <v/>
      </c>
      <c r="AU40" s="62" t="str">
        <f aca="false">IF(Tasks[[#This Row],[Task Name]]="","",IF(Tasks[[#This Row],[_IsSummary]],MAX(INDEX(Tasks[_LeafLateFinish],Tasks[[#This Row],[_Row]]+1):INDEX(Tasks[_LeafLateFinish],Tasks[[#This Row],[_Row]]+Tasks[[#This Row],[_Descendants]])),Tasks[[#This Row],[_LeafLateFinish]]))</f>
        <v/>
      </c>
      <c r="AV40" s="46"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4"/>
      <c r="BA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5"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6"/>
      <c r="BJ40" s="22"/>
      <c r="BK40" s="46" t="str">
        <f aca="false">IF(OR(Tasks[[#This Row],[Task Name]]="",Tasks[[#This Row],[Baseline Duration]]=""),"",Tasks[[#This Row],[_SpanDays]]-N(Tasks[[#This Row],[Baseline Duration]]))</f>
        <v/>
      </c>
      <c r="BL40" s="85" t="str">
        <f aca="false">IF(OR(Tasks[[#This Row],[Task Name]]="",Tasks[[#This Row],[Baseline Work]]=""),"",Tasks[[#This Row],[Work]]-N(Tasks[[#This Row],[Baseline Work]]))</f>
        <v/>
      </c>
      <c r="BM40" s="62" t="str">
        <f aca="false">IF(Tasks[[#This Row],[Task Name]]="","",IF(OR(TakeBaseline="Yes",N(Tasks[[#This Row],[Baseline Start]])=0),Tasks[[#This Row],[Start]],Tasks[[#This Row],[Baseline Start]]))</f>
        <v/>
      </c>
      <c r="BN40" s="62"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5" t="str">
        <f aca="false">IF(Tasks[[#This Row],[Task Name]]="","",IF(OR(TakeBaseline="Yes",N(Tasks[[#This Row],[Baseline Work]])=0),Tasks[[#This Row],[Work]],Tasks[[#This Row],[Baseline Work]]))</f>
        <v/>
      </c>
      <c r="BQ40" s="7"/>
      <c r="BR40" s="7"/>
      <c r="BS40" s="22"/>
      <c r="BT40" s="87"/>
      <c r="BU40" s="42" t="str">
        <f aca="false">IF(Tasks[[#This Row],[Task Name]]="","",MAX(1,N(Tasks[[#This Row],[Level]])))</f>
        <v/>
      </c>
      <c r="BV40" s="42" t="n">
        <f aca="false">ROW()-ROW(Tasks[[#Headers],[ID]])</f>
        <v>35</v>
      </c>
      <c r="BW40" s="42" t="n">
        <f aca="false">IF(OR(Tasks[[#This Row],[Task Name]]="",Tasks[[#This Row],[_Level]]&lt;=1),0,IFERROR(LOOKUP(2,1/(Tasks[[#Headers],[_Level]]:Tasks[[#This Row],[_Level]]=Tasks[[#This Row],[_Level]]-1),ROW(Tasks[[#Headers],[_Level]]:Tasks[[#This Row],[_Level]])),0))</f>
        <v>0</v>
      </c>
      <c r="BX40" s="42" t="n">
        <f aca="false">IFERROR(N(INDEX(Tasks[_Level],Tasks[[#This Row],[_Row]]+1)),0)</f>
        <v>0</v>
      </c>
      <c r="BY40" s="88" t="b">
        <f aca="false">AND(Tasks[[#This Row],[Task Name]]&lt;&gt;"",Tasks[[#This Row],[_NextLevel]]&gt;Tasks[[#This Row],[_Level]])</f>
        <v>0</v>
      </c>
      <c r="BZ40" s="42" t="n">
        <f aca="false">IF(Tasks[[#This Row],[_IsSummary]],COUNTIF(Tasks[WBS],Tasks[[#This Row],[WBS]]&amp;".*"),0)</f>
        <v>0</v>
      </c>
      <c r="CA40" s="42" t="n">
        <f aca="false">IF(AND(Tasks[[#This Row],[Task Name]]&lt;&gt;"",NOT(Tasks[[#This Row],[_IsSummary]])),1,0)</f>
        <v>0</v>
      </c>
      <c r="CB40" s="42" t="n">
        <f aca="false">IF(N(Tasks[[#This Row],[_Pred1UID]])=0,0,IFERROR(MATCH(Tasks[[#This Row],[_Pred1UID]],Tasks[UID],0),-1))</f>
        <v>0</v>
      </c>
      <c r="CC40" s="42" t="n">
        <f aca="false">IF(N(Tasks[[#This Row],[_Pred2UID]])=0,0,IFERROR(MATCH(Tasks[[#This Row],[_Pred2UID]],Tasks[UID],0),-1))</f>
        <v>0</v>
      </c>
      <c r="CD40" s="42" t="n">
        <f aca="false">IF(N(Tasks[[#This Row],[_Pred3UID]])=0,0,IFERROR(MATCH(Tasks[[#This Row],[_Pred3UID]],Tasks[UID],0),-1))</f>
        <v>0</v>
      </c>
      <c r="CE40" s="42" t="n">
        <f aca="false">IF(N(Tasks[[#This Row],[_Pred4UID]])=0,0,IFERROR(MATCH(Tasks[[#This Row],[_Pred4UID]],Tasks[UID],0),-1))</f>
        <v>0</v>
      </c>
      <c r="CF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0" s="89" t="n">
        <f aca="false">IF(OR(Tasks[[#This Row],[_ConstraintCode]]=2,Tasks[[#This Row],[_ConstraintCode]]=3,Tasks[[#This Row],[_ConstraintCode]]=4,Tasks[[#This Row],[_ConstraintCode]]=6),Tasks[[#This Row],[_ConstraintStart]],0)</f>
        <v>0</v>
      </c>
      <c r="CI40" s="89" t="n">
        <f aca="false">IF(OR(Tasks[[#This Row],[_ConstraintCode]]=2,Tasks[[#This Row],[_ConstraintCode]]=3,Tasks[[#This Row],[_ConstraintCode]]=5,Tasks[[#This Row],[_ConstraintCode]]=7),Tasks[[#This Row],[_ConstraintStart]],2958465)</f>
        <v>2958465</v>
      </c>
      <c r="CJ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0" s="89" t="str">
        <f aca="false">IF(NOT(Tasks[[#This Row],[_IsLeaf]]=1),"",IF(N(Tasks[[#This Row],[_Days]])&lt;=0,Tasks[[#This Row],[_LeafCalcStart]],WORKDAY.INTL(Tasks[[#This Row],[_LeafCalcStart]],Tasks[[#This Row],[_Days]]-1,WorkWeek,Holidays)))</f>
        <v/>
      </c>
      <c r="CL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0" s="42" t="str">
        <f aca="false">IF(Tasks[[#This Row],[_Predecessors]]="","",TRIM(MID(SUBSTITUTE(SUBSTITUTE(SUBSTITUTE(UPPER(Tasks[[#This Row],[_Predecessors]]),";",",")," ",""),",",REPT(" ",99)),1,99)))</f>
        <v/>
      </c>
      <c r="CO40" s="42" t="str">
        <f aca="false">IF(Tasks[[#This Row],[_Pred1Text]]="","",IFERROR(VALUE(LEFT(Tasks[[#This Row],[_Pred1Text]],MIN(FIND("F",Tasks[[#This Row],[_Pred1Text]]&amp;"F"),FIND("S",Tasks[[#This Row],[_Pred1Text]]&amp;"S"),FIND("+",Tasks[[#This Row],[_Pred1Text]]&amp;"+"),FIND("-",Tasks[[#This Row],[_Pred1Text]]&amp;"-"))-1)),""))</f>
        <v/>
      </c>
      <c r="CP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0" s="42" t="str">
        <f aca="false">IF(Tasks[[#This Row],[_Pred1Text]]="","",TRIM(MID(SUBSTITUTE(SUBSTITUTE(SUBSTITUTE(UPPER(Tasks[[#This Row],[_Predecessors]]),";",",")," ",""),",",REPT(" ",99)),100,99)))</f>
        <v/>
      </c>
      <c r="CS40" s="42" t="str">
        <f aca="false">IF(Tasks[[#This Row],[_Pred2Text]]="","",IFERROR(VALUE(LEFT(Tasks[[#This Row],[_Pred2Text]],MIN(FIND("F",Tasks[[#This Row],[_Pred2Text]]&amp;"F"),FIND("S",Tasks[[#This Row],[_Pred2Text]]&amp;"S"),FIND("+",Tasks[[#This Row],[_Pred2Text]]&amp;"+"),FIND("-",Tasks[[#This Row],[_Pred2Text]]&amp;"-"))-1)),""))</f>
        <v/>
      </c>
      <c r="CT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0" s="42" t="str">
        <f aca="false">IF(Tasks[[#This Row],[_Pred2Text]]="","",TRIM(MID(SUBSTITUTE(SUBSTITUTE(SUBSTITUTE(UPPER(Tasks[[#This Row],[_Predecessors]]),";",",")," ",""),",",REPT(" ",99)),199,99)))</f>
        <v/>
      </c>
      <c r="CW40" s="42" t="str">
        <f aca="false">IF(Tasks[[#This Row],[_Pred3Text]]="","",IFERROR(VALUE(LEFT(Tasks[[#This Row],[_Pred3Text]],MIN(FIND("F",Tasks[[#This Row],[_Pred3Text]]&amp;"F"),FIND("S",Tasks[[#This Row],[_Pred3Text]]&amp;"S"),FIND("+",Tasks[[#This Row],[_Pred3Text]]&amp;"+"),FIND("-",Tasks[[#This Row],[_Pred3Text]]&amp;"-"))-1)),""))</f>
        <v/>
      </c>
      <c r="CX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0" s="42" t="str">
        <f aca="false">IF(Tasks[[#This Row],[_Pred3Text]]="","",TRIM(MID(SUBSTITUTE(SUBSTITUTE(SUBSTITUTE(UPPER(Tasks[[#This Row],[_Predecessors]]),";",",")," ",""),",",REPT(" ",99)),298,99)))</f>
        <v/>
      </c>
      <c r="DA40" s="42" t="str">
        <f aca="false">IF(Tasks[[#This Row],[_Pred4Text]]="","",IFERROR(VALUE(LEFT(Tasks[[#This Row],[_Pred4Text]],MIN(FIND("F",Tasks[[#This Row],[_Pred4Text]]&amp;"F"),FIND("S",Tasks[[#This Row],[_Pred4Text]]&amp;"S"),FIND("+",Tasks[[#This Row],[_Pred4Text]]&amp;"+"),FIND("-",Tasks[[#This Row],[_Pred4Text]]&amp;"-"))-1)),""))</f>
        <v/>
      </c>
      <c r="DB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0" s="42" t="str">
        <f aca="false">IF(OR(Tasks[[#This Row],[Task Name]]="",Tasks[[#This Row],[_Resources]]=""),"",TRIM(MID(SUBSTITUTE(Tasks[[#This Row],[_Resources]],",",REPT(" ",99)),1,99)))</f>
        <v/>
      </c>
      <c r="DE40" s="42" t="str">
        <f aca="false">IF(Tasks[[#This Row],[_Res1Text]]="","",TRIM(MID(SUBSTITUTE(Tasks[[#This Row],[_Resources]],",",REPT(" ",99)),100,99)))</f>
        <v/>
      </c>
      <c r="DF40" s="42" t="str">
        <f aca="false">IF(Tasks[[#This Row],[_Res2Text]]="","",TRIM(MID(SUBSTITUTE(Tasks[[#This Row],[_Resources]],",",REPT(" ",99)),199,99)))</f>
        <v/>
      </c>
      <c r="DG40" s="42" t="str">
        <f aca="false">IF(Tasks[[#This Row],[_Res3Text]]="","",TRIM(MID(SUBSTITUTE(Tasks[[#This Row],[_Resources]],",",REPT(" ",99)),298,99)))</f>
        <v/>
      </c>
      <c r="DH40" s="42" t="n">
        <f aca="false">IF(Tasks[[#This Row],[_Res1Text]]="",0,IFERROR(MATCH(TRIM(LEFT(Tasks[[#This Row],[_Res1Text]],FIND("[",Tasks[[#This Row],[_Res1Text]]&amp;"[")-1)),res_Name,0),IFERROR(MATCH(TRIM(LEFT(Tasks[[#This Row],[_Res1Text]],FIND("[",Tasks[[#This Row],[_Res1Text]]&amp;"[")-1)),res_Initials,0),0)))</f>
        <v>0</v>
      </c>
      <c r="DI40" s="42" t="n">
        <f aca="false">IF(Tasks[[#This Row],[_Res2Text]]="",0,IFERROR(MATCH(TRIM(LEFT(Tasks[[#This Row],[_Res2Text]],FIND("[",Tasks[[#This Row],[_Res2Text]]&amp;"[")-1)),res_Name,0),IFERROR(MATCH(TRIM(LEFT(Tasks[[#This Row],[_Res2Text]],FIND("[",Tasks[[#This Row],[_Res2Text]]&amp;"[")-1)),res_Initials,0),0)))</f>
        <v>0</v>
      </c>
      <c r="DJ40" s="42" t="n">
        <f aca="false">IF(Tasks[[#This Row],[_Res3Text]]="",0,IFERROR(MATCH(TRIM(LEFT(Tasks[[#This Row],[_Res3Text]],FIND("[",Tasks[[#This Row],[_Res3Text]]&amp;"[")-1)),res_Name,0),IFERROR(MATCH(TRIM(LEFT(Tasks[[#This Row],[_Res3Text]],FIND("[",Tasks[[#This Row],[_Res3Text]]&amp;"[")-1)),res_Initials,0),0)))</f>
        <v>0</v>
      </c>
      <c r="DK40" s="42" t="n">
        <f aca="false">IF(Tasks[[#This Row],[_Res4Text]]="",0,IFERROR(MATCH(TRIM(LEFT(Tasks[[#This Row],[_Res4Text]],FIND("[",Tasks[[#This Row],[_Res4Text]]&amp;"[")-1)),res_Name,0),IFERROR(MATCH(TRIM(LEFT(Tasks[[#This Row],[_Res4Text]],FIND("[",Tasks[[#This Row],[_Res4Text]]&amp;"[")-1)),res_Initials,0),0)))</f>
        <v>0</v>
      </c>
      <c r="DL40" s="42" t="str">
        <f aca="false">IF(Tasks[[#This Row],[_Res1Text]]="","",IF(Tasks[[#This Row],[_Res1Row]]&gt;0,INDEX(res_Name,Tasks[[#This Row],[_Res1Row]]),TRIM(LEFT(Tasks[[#This Row],[_Res1Text]],FIND("[",Tasks[[#This Row],[_Res1Text]]&amp;"[")-1))))</f>
        <v/>
      </c>
      <c r="DM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0" s="42" t="n">
        <f aca="false">IF(NOT(Tasks[[#This Row],[_IsLeaf]]=1),0,(Tasks[[#This Row],[_Resource1]]&lt;&gt;"")+(Tasks[[#This Row],[_Res2]]&lt;&gt;"")+(Tasks[[#This Row],[_Res3]]&lt;&gt;"")+(Tasks[[#This Row],[_Res4]]&lt;&gt;""))</f>
        <v>0</v>
      </c>
      <c r="DO40" s="42" t="str">
        <f aca="false">IF(Tasks[[#This Row],[_Res2Text]]="","",IF(Tasks[[#This Row],[_Res2Row]]&gt;0,INDEX(res_Name,Tasks[[#This Row],[_Res2Row]]),TRIM(LEFT(Tasks[[#This Row],[_Res2Text]],FIND("[",Tasks[[#This Row],[_Res2Text]]&amp;"[")-1))))</f>
        <v/>
      </c>
      <c r="DP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0" s="42" t="n">
        <f aca="false">IF(OR(NOT(Tasks[[#This Row],[_IsLeaf]]=1),Tasks[[#This Row],[_Res2Row]]=0),0,N(Tasks[[#This Row],[_Days]])*HoursPerDay*IF(Tasks[[#This Row],[_Res2Units]]="",DefaultUnits,Tasks[[#This Row],[_Res2Units]]))</f>
        <v>0</v>
      </c>
      <c r="DR40" s="42" t="n">
        <f aca="false">IF(AND(AND(Tasks[[#This Row],[_IsLeaf]]=1,Tasks[[#This Row],[_LeafTotalWork]]&gt;0),Tasks[[#This Row],[_Res2Work]]&gt;0),Tasks[[#This Row],[_Res2Work]]/(Tasks[[#This Row],[_FinishWorkday]]-Tasks[[#This Row],[_StartWorkday]]+1),0)</f>
        <v>0</v>
      </c>
      <c r="DS40" s="42" t="n">
        <f aca="false">Tasks[[#This Row],[_Res2WorkPerWD]]*MAX(0,Tasks[[#This Row],[_StartWorkday]]-1)</f>
        <v>0</v>
      </c>
      <c r="DT40" s="42" t="n">
        <f aca="false">Tasks[[#This Row],[_Res2Work]]*Tasks[[#This Row],[_LeafProgress]]</f>
        <v>0</v>
      </c>
      <c r="DU40" s="42" t="str">
        <f aca="false">IF(Tasks[[#This Row],[_Res3Text]]="","",IF(Tasks[[#This Row],[_Res3Row]]&gt;0,INDEX(res_Name,Tasks[[#This Row],[_Res3Row]]),TRIM(LEFT(Tasks[[#This Row],[_Res3Text]],FIND("[",Tasks[[#This Row],[_Res3Text]]&amp;"[")-1))))</f>
        <v/>
      </c>
      <c r="DV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0" s="42" t="n">
        <f aca="false">IF(OR(NOT(Tasks[[#This Row],[_IsLeaf]]=1),Tasks[[#This Row],[_Res3Row]]=0),0,N(Tasks[[#This Row],[_Days]])*HoursPerDay*IF(Tasks[[#This Row],[_Res3Units]]="",DefaultUnits,Tasks[[#This Row],[_Res3Units]]))</f>
        <v>0</v>
      </c>
      <c r="DX40" s="42" t="n">
        <f aca="false">IF(AND(AND(Tasks[[#This Row],[_IsLeaf]]=1,Tasks[[#This Row],[_LeafTotalWork]]&gt;0),Tasks[[#This Row],[_Res3Work]]&gt;0),Tasks[[#This Row],[_Res3Work]]/(Tasks[[#This Row],[_FinishWorkday]]-Tasks[[#This Row],[_StartWorkday]]+1),0)</f>
        <v>0</v>
      </c>
      <c r="DY40" s="42" t="n">
        <f aca="false">Tasks[[#This Row],[_Res3WorkPerWD]]*MAX(0,Tasks[[#This Row],[_StartWorkday]]-1)</f>
        <v>0</v>
      </c>
      <c r="DZ40" s="42" t="n">
        <f aca="false">Tasks[[#This Row],[_Res3Work]]*Tasks[[#This Row],[_LeafProgress]]</f>
        <v>0</v>
      </c>
      <c r="EA40" s="42" t="str">
        <f aca="false">IF(Tasks[[#This Row],[_Res4Text]]="","",IF(Tasks[[#This Row],[_Res4Row]]&gt;0,INDEX(res_Name,Tasks[[#This Row],[_Res4Row]]),TRIM(LEFT(Tasks[[#This Row],[_Res4Text]],FIND("[",Tasks[[#This Row],[_Res4Text]]&amp;"[")-1))))</f>
        <v/>
      </c>
      <c r="EB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0" s="42" t="n">
        <f aca="false">IF(OR(NOT(Tasks[[#This Row],[_IsLeaf]]=1),Tasks[[#This Row],[_Res4Row]]=0),0,N(Tasks[[#This Row],[_Days]])*HoursPerDay*IF(Tasks[[#This Row],[_Res4Units]]="",DefaultUnits,Tasks[[#This Row],[_Res4Units]]))</f>
        <v>0</v>
      </c>
      <c r="ED40" s="42" t="n">
        <f aca="false">IF(AND(AND(Tasks[[#This Row],[_IsLeaf]]=1,Tasks[[#This Row],[_LeafTotalWork]]&gt;0),Tasks[[#This Row],[_Res4Work]]&gt;0),Tasks[[#This Row],[_Res4Work]]/(Tasks[[#This Row],[_FinishWorkday]]-Tasks[[#This Row],[_StartWorkday]]+1),0)</f>
        <v>0</v>
      </c>
      <c r="EE40" s="42" t="n">
        <f aca="false">Tasks[[#This Row],[_Res4WorkPerWD]]*MAX(0,Tasks[[#This Row],[_StartWorkday]]-1)</f>
        <v>0</v>
      </c>
      <c r="EF40" s="42" t="n">
        <f aca="false">Tasks[[#This Row],[_Res4Work]]*Tasks[[#This Row],[_LeafProgress]]</f>
        <v>0</v>
      </c>
      <c r="EG40" s="42" t="n">
        <f aca="false">IF(ISNUMBER(Tasks[[#This Row],[% Complete]]),Tasks[[#This Row],[% Complete]],IF(Tasks[[#This Row],[Stage]]="",0,IFERROR(INDEX(stg_Pct,MATCH(Tasks[[#This Row],[Stage]],stg_Name,0)),0)))</f>
        <v>0</v>
      </c>
      <c r="EH40" s="42" t="n">
        <f aca="false">IF(NOT(Tasks[[#This Row],[_IsLeaf]]=1),0,IF(N(Tasks[[#This Row],[Actual Finish]])&gt;0,1,MIN(1,Tasks[[#This Row],[_Pct]])))</f>
        <v>0</v>
      </c>
      <c r="EI40" s="42" t="n">
        <f aca="false">IF(OR(NOT(Tasks[[#This Row],[_IsLeaf]]=1),Tasks[[#This Row],[_Res1Row]]=0),0,N(Tasks[[#This Row],[_Days]])*HoursPerDay*IF(Tasks[[#This Row],[_Units1]]="",DefaultUnits,Tasks[[#This Row],[_Units1]]))</f>
        <v>0</v>
      </c>
      <c r="EJ40" s="42" t="n">
        <f aca="false">Tasks[[#This Row],[_LeafWork]]+Tasks[[#This Row],[_Res2Work]]+Tasks[[#This Row],[_Res3Work]]+Tasks[[#This Row],[_Res4Work]]</f>
        <v>0</v>
      </c>
      <c r="EK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0" s="42" t="n">
        <f aca="false">IF(NOT(Tasks[[#This Row],[_IsLeaf]]=1),0,MAX(_xlfn.MAXIFS(Tasks[_Row],Tasks[_Pred1UID],Tasks[[#This Row],[UID]]),_xlfn.MAXIFS(Tasks[_Row],Tasks[_Pred2UID],Tasks[[#This Row],[UID]]),_xlfn.MAXIFS(Tasks[_Row],Tasks[_Pred3UID],Tasks[[#This Row],[UID]]),_xlfn.MAXIFS(Tasks[_Row],Tasks[_Pred4UID],Tasks[[#This Row],[UID]])))</f>
        <v>0</v>
      </c>
      <c r="ET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0" s="89" t="str">
        <f aca="false">IF(NOT(Tasks[[#This Row],[_IsLeaf]]=1),"",IF(N(Tasks[[#This Row],[_Days]])&lt;=0,Tasks[[#This Row],[_LeafLateFinish]],WORKDAY.INTL(Tasks[[#This Row],[_LeafLateFinish]],-(Tasks[[#This Row],[_Days]]-1),WorkWeek,Holidays)))</f>
        <v/>
      </c>
      <c r="EW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0" s="88" t="b">
        <f aca="false">AND(Tasks[[#This Row],[_IsLeaf]]=1,Tasks[[#This Row],[_LeafProgress]]&lt;1,N(Tasks[[#This Row],[_LeafTotalSlack]])&lt;=CriticalSlackDays)</f>
        <v>0</v>
      </c>
      <c r="EY40" s="42" t="n">
        <f aca="false">IF(AND(Tasks[[#This Row],[_IsLeaf]]=1,Tasks[[#This Row],[_ConstraintCode]]=1,Tasks[[#This Row],[Mode]]&lt;&gt;"Manual",N(Tasks[[#This Row],[Actual Start]])=0),MAX(0,N(Tasks[[#This Row],[Free Slack]])),0)</f>
        <v>0</v>
      </c>
      <c r="EZ40" s="89" t="str">
        <f aca="false">IF(NOT(Tasks[[#This Row],[_IsLeaf]]=1),"",IF(Tasks[[#This Row],[_AlapShift]]=0,Tasks[[#This Row],[_LeafCalcStart]],WORKDAY.INTL(Tasks[[#This Row],[_LeafCalcStart]],Tasks[[#This Row],[_AlapShift]],WorkWeek,Holidays)))</f>
        <v/>
      </c>
      <c r="FA40" s="89" t="str">
        <f aca="false">IF(NOT(Tasks[[#This Row],[_IsLeaf]]=1),"",IF(Tasks[[#This Row],[_AlapShift]]=0,Tasks[[#This Row],[_LeafCalcFinish]],WORKDAY.INTL(Tasks[[#This Row],[_LeafCalcFinish]],Tasks[[#This Row],[_AlapShift]],WorkWeek,Holidays)))</f>
        <v/>
      </c>
      <c r="FB40" s="89" t="str">
        <f aca="false">IF(NOT(Tasks[[#This Row],[_IsLeaf]]=1),"",IF(Tasks[[#This Row],[_AlapShift]]=0,Tasks[[#This Row],[_LeafFcstStart]],WORKDAY.INTL(Tasks[[#This Row],[_LeafFcstStart]],Tasks[[#This Row],[_AlapShift]],WorkWeek,Holidays)))</f>
        <v/>
      </c>
      <c r="FC40" s="89" t="str">
        <f aca="false">IF(NOT(Tasks[[#This Row],[_IsLeaf]]=1),"",IF(Tasks[[#This Row],[_AlapShift]]=0,Tasks[[#This Row],[_LeafFcstFinish]],WORKDAY.INTL(Tasks[[#This Row],[_LeafFcstFinish]],Tasks[[#This Row],[_AlapShift]],WorkWeek,Holidays)))</f>
        <v/>
      </c>
      <c r="FD40" s="89" t="str">
        <f aca="false">IF(Tasks[[#This Row],[Task Name]]="","",IF(Tasks[[#This Row],[_IsSummary]],MIN(INDEX(Tasks[_ShownCalcStart],Tasks[[#This Row],[_Row]]+1):INDEX(Tasks[_ShownCalcStart],Tasks[[#This Row],[_Row]]+Tasks[[#This Row],[_Descendants]])),Tasks[[#This Row],[_ShownCalcStart]]))</f>
        <v/>
      </c>
      <c r="FE40" s="89" t="str">
        <f aca="false">IF(Tasks[[#This Row],[Task Name]]="","",IF(Tasks[[#This Row],[_IsSummary]],MAX(INDEX(Tasks[_ShownCalcFinish],Tasks[[#This Row],[_Row]]+1):INDEX(Tasks[_ShownCalcFinish],Tasks[[#This Row],[_Row]]+Tasks[[#This Row],[_Descendants]])),Tasks[[#This Row],[_ShownCalcFinish]]))</f>
        <v/>
      </c>
      <c r="FF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0" s="42" t="n">
        <f aca="false">IF(AND(Tasks[[#This Row],[_IsLeaf]]=1,Tasks[[#This Row],[_LeafTotalWork]]&gt;0),NETWORKDAYS.INTL(ProjectStart,Tasks[[#This Row],[_ShownFcstStart]],WorkWeek,Holidays),0)</f>
        <v>0</v>
      </c>
      <c r="FS40" s="42" t="n">
        <f aca="false">IF(AND(Tasks[[#This Row],[_IsLeaf]]=1,Tasks[[#This Row],[_LeafTotalWork]]&gt;0),MAX(Tasks[[#This Row],[_StartWorkday]],NETWORKDAYS.INTL(ProjectStart,Tasks[[#This Row],[_ShownFcstFinish]],WorkWeek,Holidays)),0)</f>
        <v>0</v>
      </c>
      <c r="FT40" s="42" t="n">
        <f aca="false">IF(AND(Tasks[[#This Row],[_IsLeaf]]=1,Tasks[[#This Row],[_LeafTotalWork]]&gt;0),Tasks[[#This Row],[_LeafWork]]/(Tasks[[#This Row],[_FinishWorkday]]-Tasks[[#This Row],[_StartWorkday]]+1),0)</f>
        <v>0</v>
      </c>
      <c r="FU40" s="42" t="n">
        <f aca="false">Tasks[[#This Row],[_WorkPerWorkday]]*(Tasks[[#This Row],[_StartWorkday]]-1)</f>
        <v>-0</v>
      </c>
      <c r="FV40" s="42" t="n">
        <f aca="false">IF(Tasks[[#This Row],[_IsLeaf]]=1,MAX(N(Tasks[[#This Row],[_Days]]),0.1),0)</f>
        <v>0</v>
      </c>
      <c r="FW40" s="42" t="n">
        <f aca="false">Tasks[[#This Row],[_WeightDur]]*Tasks[[#This Row],[_LeafProgress]]</f>
        <v>0</v>
      </c>
      <c r="FX40" s="42" t="n">
        <f aca="false">Tasks[[#This Row],[_WeightDur]]*Tasks[[#This Row],[_PlannedPct]]</f>
        <v>0</v>
      </c>
      <c r="FY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0" s="42" t="str">
        <f aca="false">IF(AND(Tasks[[#This Row],[_IsLeaf]]=1,N(Tasks[[#This Row],[_Days]])=0,Tasks[[#This Row],[_LeafProgress]]&lt;1),Tasks[[#This Row],[_ShownFcstFinish]]+Tasks[[#This Row],[_Row]]/100000,"")</f>
        <v/>
      </c>
      <c r="GA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0" s="42" t="str">
        <f aca="false">IF(Tasks[[#This Row],[Task Name]]="","",LEFT(Tasks[[#This Row],[WBS]],FIND(".",Tasks[[#This Row],[WBS]]&amp;".")-1))</f>
        <v/>
      </c>
      <c r="GC40" s="42" t="str">
        <f aca="false">IF(AND(Tasks[[#This Row],[Task Name]]&lt;&gt;"",Tasks[[#This Row],[_Level]]=1),Tasks[[#This Row],[_Row]],"")</f>
        <v/>
      </c>
      <c r="GD40" s="42" t="str">
        <f aca="false">IF(AND(Tasks[[#This Row],[_IsLeaf]]=1,N(Tasks[[#This Row],[_Days]])=0),Tasks[[#This Row],[Planned Finish]]+Tasks[[#This Row],[_Row]]/100000,"")</f>
        <v/>
      </c>
      <c r="GE40" s="42" t="str">
        <f aca="false">IF(AND(Tasks[[#This Row],[_IsLeaf]]=1,Tasks[[#This Row],[_LeafProgress]]&lt;1,OR(N(Tasks[[#This Row],[Finish Var]])&gt;0,Tasks[[#This Row],[Status]]="Late Start")),MAX(0,Tasks[[#This Row],[Finish Var]])+1-Tasks[[#This Row],[_Row]]/1000000,"")</f>
        <v/>
      </c>
      <c r="GF40" s="42" t="str">
        <f aca="false">IF(AND(Tasks[[#This Row],[_IsLeaf]]=1,N(Tasks[[#This Row],[Actual Start]])=0,Tasks[[#This Row],[_ShownFcstStart]]&gt;=StatusDate,Tasks[[#This Row],[_ShownFcstStart]]&lt;=LookaheadEnd),Tasks[[#This Row],[_ShownFcstStart]]+Tasks[[#This Row],[_Row]]/100000,"")</f>
        <v/>
      </c>
      <c r="GG40" s="42" t="str">
        <f aca="false">IF(AND(Tasks[[#This Row],[_IsLeaf]]=1,Tasks[[#This Row],[_LeafProgress]]&lt;1,Tasks[[#This Row],[_ShownFcstFinish]]&gt;=StatusDate,Tasks[[#This Row],[_ShownFcstFinish]]&lt;=LookaheadEnd),Tasks[[#This Row],[_ShownFcstFinish]]+Tasks[[#This Row],[_Row]]/100000,"")</f>
        <v/>
      </c>
      <c r="GH40" s="42" t="str">
        <f aca="false">IF(Tasks[[#This Row],[_LeafCritical]],Tasks[[#This Row],[_ShownFcstStart]]+Tasks[[#This Row],[_Row]]/100000,"")</f>
        <v/>
      </c>
      <c r="GI40" s="42" t="n">
        <f aca="false">Tasks[[#This Row],[_LeafWork]]*Tasks[[#This Row],[_LeafProgress]]</f>
        <v>0</v>
      </c>
      <c r="GJ40" s="89" t="str">
        <f aca="false">IF(AND(Tasks[[#This Row],[_IsLeaf]]=1,Tasks[[#This Row],[_LeafProgress]]&gt;=1),IF(N(Tasks[[#This Row],[Actual Finish]])&gt;0,Tasks[[#This Row],[Actual Finish]],Tasks[[#This Row],[_ShownFcstFinish]]),"")</f>
        <v/>
      </c>
      <c r="GK40" s="42" t="n">
        <f aca="false">IF(Tasks[[#This Row],[_IsLeaf]]=1,N(Tasks[[#This Row],[Story Points]]),0)</f>
        <v>0</v>
      </c>
      <c r="GL40" s="42" t="str">
        <f aca="false">""</f>
        <v/>
      </c>
      <c r="GM40" s="88" t="b">
        <f aca="false">IF(Tasks[[#This Row],[Task Name]]="",FALSE(),AND(Tasks[[#This Row],[_IsLeaf]]=1,N(Tasks[[#This Row],[_Days]])=0))</f>
        <v>0</v>
      </c>
      <c r="GN40" s="89" t="n">
        <f aca="false">IF(Tasks[[#This Row],[Task Name]]="",0,IF(AND(Tasks[[#This Row],[_IsLeaf]]=1,NOT(Tasks[[#This Row],[_IsMilestone]]),N(Tasks[[#This Row],[Progress]])&gt;0),Tasks[[#This Row],[Start]],0))</f>
        <v>0</v>
      </c>
      <c r="GO40" s="89" t="n">
        <f aca="false">IF(Tasks[[#This Row],[_DoneFrom]]=0,0,IF(Tasks[[#This Row],[Progress]]&gt;=1,Tasks[[#This Row],[Finish]],MAX(Tasks[[#This Row],[_DoneFrom]],Tasks[[#This Row],[Start]]+ROUND((Tasks[[#This Row],[Finish]]-Tasks[[#This Row],[Start]]+1)*Tasks[[#This Row],[Progress]],0)-1)))</f>
        <v>0</v>
      </c>
      <c r="GP40" s="89" t="n">
        <f aca="false">IF(Tasks[[#This Row],[Task Name]]="",0,IF(OR(NOT(Tasks[[#This Row],[_IsLeaf]]=1),Tasks[[#This Row],[_IsMilestone]],N(Tasks[[#This Row],[Progress]])&gt;=1),0,IF(Tasks[[#This Row],[_DoneTo]]&gt;0,Tasks[[#This Row],[_DoneTo]]+1,Tasks[[#This Row],[Start]])))</f>
        <v>0</v>
      </c>
      <c r="GQ40" s="89" t="n">
        <f aca="false">IF(Tasks[[#This Row],[_RemFrom]]=0,0,Tasks[[#This Row],[Finish]])</f>
        <v>0</v>
      </c>
      <c r="GR40" s="88" t="b">
        <f aca="false">IF(Tasks[[#This Row],[Task Name]]="",FALSE(),OR(NOT(BaselineSet),N(Tasks[[#This Row],[Baseline Start]])&gt;0))</f>
        <v>0</v>
      </c>
      <c r="GS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0" s="90" t="str">
        <f aca="false">IF(Tasks[[#This Row],[_IsLeaf]]=1,Tasks[[#This Row],[_Row]],"")</f>
        <v/>
      </c>
      <c r="GW40" s="90" t="str">
        <f aca="false">IFERROR(INDEX(Tasks[UID],SMALL(Tasks[_PickKey],Tasks[[#This Row],[_Row]]))&amp;" "&amp;INDEX(Tasks[Task Name],SMALL(Tasks[_PickKey],Tasks[[#This Row],[_Row]])),"")</f>
        <v/>
      </c>
      <c r="GX40" s="42" t="str">
        <f aca="false">IF(Tasks[[#This Row],[Task Name]]="","",IF(Tasks[[#This Row],[_IsSummary]],NETWORKDAYS.INTL(Tasks[[#This Row],[Start]],Tasks[[#This Row],[Finish]],WorkWeek,Holidays),N(Tasks[[#This Row],[_Days]])))</f>
        <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3"/>
      <c r="U41" s="23"/>
      <c r="V41" s="83"/>
      <c r="W41" s="23"/>
      <c r="X41" s="83"/>
      <c r="Y41" s="23"/>
      <c r="Z41" s="83"/>
      <c r="AA41" s="23"/>
      <c r="AB41" s="23"/>
      <c r="AC41" s="7"/>
      <c r="AD41" s="7"/>
      <c r="AE41" s="62" t="str">
        <f aca="false">IF(Tasks[[#This Row],[Task Name]]="","",IF(Tasks[[#This Row],[_IsSummary]],MIN(INDEX(Tasks[_ShownFcstStart],Tasks[[#This Row],[_Row]]+1):INDEX(Tasks[_ShownFcstStart],Tasks[[#This Row],[_Row]]+Tasks[[#This Row],[_Descendants]])),Tasks[[#This Row],[_ShownFcstStart]]))</f>
        <v/>
      </c>
      <c r="AF41" s="62"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1" s="7"/>
      <c r="AK41" s="22"/>
      <c r="AL41" s="23"/>
      <c r="AM41" s="7"/>
      <c r="AN41" s="46"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2" t="str">
        <f aca="false">IF(Tasks[[#This Row],[Task Name]]="","",IF(N(Tasks[[#This Row],[Baseline Start]])&gt;0,Tasks[[#This Row],[Baseline Start]],Tasks[[#This Row],[_CalcStart]]))</f>
        <v/>
      </c>
      <c r="AR41" s="62" t="str">
        <f aca="false">IF(Tasks[[#This Row],[Task Name]]="","",IF(N(Tasks[[#This Row],[Baseline Finish]])&gt;0,Tasks[[#This Row],[Baseline Finish]],Tasks[[#This Row],[_CalcFinish]]))</f>
        <v/>
      </c>
      <c r="AS41" s="46" t="str">
        <f aca="false">IF(Tasks[[#This Row],[Task Name]]="","",IF(Tasks[[#This Row],[Start]]&gt;=Tasks[[#This Row],[Planned Start]],NETWORKDAYS.INTL(Tasks[[#This Row],[Planned Start]],Tasks[[#This Row],[Start]],WorkWeek,Holidays)-1,1-NETWORKDAYS.INTL(Tasks[[#This Row],[Start]],Tasks[[#This Row],[Planned Start]],WorkWeek,Holidays)))</f>
        <v/>
      </c>
      <c r="AT41" s="62" t="str">
        <f aca="false">IF(Tasks[[#This Row],[Task Name]]="","",IF(Tasks[[#This Row],[_IsSummary]],MIN(INDEX(Tasks[_LeafLateStart],Tasks[[#This Row],[_Row]]+1):INDEX(Tasks[_LeafLateStart],Tasks[[#This Row],[_Row]]+Tasks[[#This Row],[_Descendants]])),Tasks[[#This Row],[_LeafLateStart]]))</f>
        <v/>
      </c>
      <c r="AU41" s="62" t="str">
        <f aca="false">IF(Tasks[[#This Row],[Task Name]]="","",IF(Tasks[[#This Row],[_IsSummary]],MAX(INDEX(Tasks[_LeafLateFinish],Tasks[[#This Row],[_Row]]+1):INDEX(Tasks[_LeafLateFinish],Tasks[[#This Row],[_Row]]+Tasks[[#This Row],[_Descendants]])),Tasks[[#This Row],[_LeafLateFinish]]))</f>
        <v/>
      </c>
      <c r="AV41" s="46"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4"/>
      <c r="BA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5"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6"/>
      <c r="BJ41" s="22"/>
      <c r="BK41" s="46" t="str">
        <f aca="false">IF(OR(Tasks[[#This Row],[Task Name]]="",Tasks[[#This Row],[Baseline Duration]]=""),"",Tasks[[#This Row],[_SpanDays]]-N(Tasks[[#This Row],[Baseline Duration]]))</f>
        <v/>
      </c>
      <c r="BL41" s="85" t="str">
        <f aca="false">IF(OR(Tasks[[#This Row],[Task Name]]="",Tasks[[#This Row],[Baseline Work]]=""),"",Tasks[[#This Row],[Work]]-N(Tasks[[#This Row],[Baseline Work]]))</f>
        <v/>
      </c>
      <c r="BM41" s="62" t="str">
        <f aca="false">IF(Tasks[[#This Row],[Task Name]]="","",IF(OR(TakeBaseline="Yes",N(Tasks[[#This Row],[Baseline Start]])=0),Tasks[[#This Row],[Start]],Tasks[[#This Row],[Baseline Start]]))</f>
        <v/>
      </c>
      <c r="BN41" s="62"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5" t="str">
        <f aca="false">IF(Tasks[[#This Row],[Task Name]]="","",IF(OR(TakeBaseline="Yes",N(Tasks[[#This Row],[Baseline Work]])=0),Tasks[[#This Row],[Work]],Tasks[[#This Row],[Baseline Work]]))</f>
        <v/>
      </c>
      <c r="BQ41" s="7"/>
      <c r="BR41" s="7"/>
      <c r="BS41" s="22"/>
      <c r="BT41" s="87"/>
      <c r="BU41" s="42" t="str">
        <f aca="false">IF(Tasks[[#This Row],[Task Name]]="","",MAX(1,N(Tasks[[#This Row],[Level]])))</f>
        <v/>
      </c>
      <c r="BV41" s="42" t="n">
        <f aca="false">ROW()-ROW(Tasks[[#Headers],[ID]])</f>
        <v>36</v>
      </c>
      <c r="BW41" s="42" t="n">
        <f aca="false">IF(OR(Tasks[[#This Row],[Task Name]]="",Tasks[[#This Row],[_Level]]&lt;=1),0,IFERROR(LOOKUP(2,1/(Tasks[[#Headers],[_Level]]:Tasks[[#This Row],[_Level]]=Tasks[[#This Row],[_Level]]-1),ROW(Tasks[[#Headers],[_Level]]:Tasks[[#This Row],[_Level]])),0))</f>
        <v>0</v>
      </c>
      <c r="BX41" s="42" t="n">
        <f aca="false">IFERROR(N(INDEX(Tasks[_Level],Tasks[[#This Row],[_Row]]+1)),0)</f>
        <v>0</v>
      </c>
      <c r="BY41" s="88" t="b">
        <f aca="false">AND(Tasks[[#This Row],[Task Name]]&lt;&gt;"",Tasks[[#This Row],[_NextLevel]]&gt;Tasks[[#This Row],[_Level]])</f>
        <v>0</v>
      </c>
      <c r="BZ41" s="42" t="n">
        <f aca="false">IF(Tasks[[#This Row],[_IsSummary]],COUNTIF(Tasks[WBS],Tasks[[#This Row],[WBS]]&amp;".*"),0)</f>
        <v>0</v>
      </c>
      <c r="CA41" s="42" t="n">
        <f aca="false">IF(AND(Tasks[[#This Row],[Task Name]]&lt;&gt;"",NOT(Tasks[[#This Row],[_IsSummary]])),1,0)</f>
        <v>0</v>
      </c>
      <c r="CB41" s="42" t="n">
        <f aca="false">IF(N(Tasks[[#This Row],[_Pred1UID]])=0,0,IFERROR(MATCH(Tasks[[#This Row],[_Pred1UID]],Tasks[UID],0),-1))</f>
        <v>0</v>
      </c>
      <c r="CC41" s="42" t="n">
        <f aca="false">IF(N(Tasks[[#This Row],[_Pred2UID]])=0,0,IFERROR(MATCH(Tasks[[#This Row],[_Pred2UID]],Tasks[UID],0),-1))</f>
        <v>0</v>
      </c>
      <c r="CD41" s="42" t="n">
        <f aca="false">IF(N(Tasks[[#This Row],[_Pred3UID]])=0,0,IFERROR(MATCH(Tasks[[#This Row],[_Pred3UID]],Tasks[UID],0),-1))</f>
        <v>0</v>
      </c>
      <c r="CE41" s="42" t="n">
        <f aca="false">IF(N(Tasks[[#This Row],[_Pred4UID]])=0,0,IFERROR(MATCH(Tasks[[#This Row],[_Pred4UID]],Tasks[UID],0),-1))</f>
        <v>0</v>
      </c>
      <c r="CF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1" s="89" t="n">
        <f aca="false">IF(OR(Tasks[[#This Row],[_ConstraintCode]]=2,Tasks[[#This Row],[_ConstraintCode]]=3,Tasks[[#This Row],[_ConstraintCode]]=4,Tasks[[#This Row],[_ConstraintCode]]=6),Tasks[[#This Row],[_ConstraintStart]],0)</f>
        <v>0</v>
      </c>
      <c r="CI41" s="89" t="n">
        <f aca="false">IF(OR(Tasks[[#This Row],[_ConstraintCode]]=2,Tasks[[#This Row],[_ConstraintCode]]=3,Tasks[[#This Row],[_ConstraintCode]]=5,Tasks[[#This Row],[_ConstraintCode]]=7),Tasks[[#This Row],[_ConstraintStart]],2958465)</f>
        <v>2958465</v>
      </c>
      <c r="CJ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1" s="89" t="str">
        <f aca="false">IF(NOT(Tasks[[#This Row],[_IsLeaf]]=1),"",IF(N(Tasks[[#This Row],[_Days]])&lt;=0,Tasks[[#This Row],[_LeafCalcStart]],WORKDAY.INTL(Tasks[[#This Row],[_LeafCalcStart]],Tasks[[#This Row],[_Days]]-1,WorkWeek,Holidays)))</f>
        <v/>
      </c>
      <c r="CL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1" s="42" t="str">
        <f aca="false">IF(Tasks[[#This Row],[_Predecessors]]="","",TRIM(MID(SUBSTITUTE(SUBSTITUTE(SUBSTITUTE(UPPER(Tasks[[#This Row],[_Predecessors]]),";",",")," ",""),",",REPT(" ",99)),1,99)))</f>
        <v/>
      </c>
      <c r="CO41" s="42" t="str">
        <f aca="false">IF(Tasks[[#This Row],[_Pred1Text]]="","",IFERROR(VALUE(LEFT(Tasks[[#This Row],[_Pred1Text]],MIN(FIND("F",Tasks[[#This Row],[_Pred1Text]]&amp;"F"),FIND("S",Tasks[[#This Row],[_Pred1Text]]&amp;"S"),FIND("+",Tasks[[#This Row],[_Pred1Text]]&amp;"+"),FIND("-",Tasks[[#This Row],[_Pred1Text]]&amp;"-"))-1)),""))</f>
        <v/>
      </c>
      <c r="CP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1" s="42" t="str">
        <f aca="false">IF(Tasks[[#This Row],[_Pred1Text]]="","",TRIM(MID(SUBSTITUTE(SUBSTITUTE(SUBSTITUTE(UPPER(Tasks[[#This Row],[_Predecessors]]),";",",")," ",""),",",REPT(" ",99)),100,99)))</f>
        <v/>
      </c>
      <c r="CS41" s="42" t="str">
        <f aca="false">IF(Tasks[[#This Row],[_Pred2Text]]="","",IFERROR(VALUE(LEFT(Tasks[[#This Row],[_Pred2Text]],MIN(FIND("F",Tasks[[#This Row],[_Pred2Text]]&amp;"F"),FIND("S",Tasks[[#This Row],[_Pred2Text]]&amp;"S"),FIND("+",Tasks[[#This Row],[_Pred2Text]]&amp;"+"),FIND("-",Tasks[[#This Row],[_Pred2Text]]&amp;"-"))-1)),""))</f>
        <v/>
      </c>
      <c r="CT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1" s="42" t="str">
        <f aca="false">IF(Tasks[[#This Row],[_Pred2Text]]="","",TRIM(MID(SUBSTITUTE(SUBSTITUTE(SUBSTITUTE(UPPER(Tasks[[#This Row],[_Predecessors]]),";",",")," ",""),",",REPT(" ",99)),199,99)))</f>
        <v/>
      </c>
      <c r="CW41" s="42" t="str">
        <f aca="false">IF(Tasks[[#This Row],[_Pred3Text]]="","",IFERROR(VALUE(LEFT(Tasks[[#This Row],[_Pred3Text]],MIN(FIND("F",Tasks[[#This Row],[_Pred3Text]]&amp;"F"),FIND("S",Tasks[[#This Row],[_Pred3Text]]&amp;"S"),FIND("+",Tasks[[#This Row],[_Pred3Text]]&amp;"+"),FIND("-",Tasks[[#This Row],[_Pred3Text]]&amp;"-"))-1)),""))</f>
        <v/>
      </c>
      <c r="CX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1" s="42" t="str">
        <f aca="false">IF(Tasks[[#This Row],[_Pred3Text]]="","",TRIM(MID(SUBSTITUTE(SUBSTITUTE(SUBSTITUTE(UPPER(Tasks[[#This Row],[_Predecessors]]),";",",")," ",""),",",REPT(" ",99)),298,99)))</f>
        <v/>
      </c>
      <c r="DA41" s="42" t="str">
        <f aca="false">IF(Tasks[[#This Row],[_Pred4Text]]="","",IFERROR(VALUE(LEFT(Tasks[[#This Row],[_Pred4Text]],MIN(FIND("F",Tasks[[#This Row],[_Pred4Text]]&amp;"F"),FIND("S",Tasks[[#This Row],[_Pred4Text]]&amp;"S"),FIND("+",Tasks[[#This Row],[_Pred4Text]]&amp;"+"),FIND("-",Tasks[[#This Row],[_Pred4Text]]&amp;"-"))-1)),""))</f>
        <v/>
      </c>
      <c r="DB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1" s="42" t="str">
        <f aca="false">IF(OR(Tasks[[#This Row],[Task Name]]="",Tasks[[#This Row],[_Resources]]=""),"",TRIM(MID(SUBSTITUTE(Tasks[[#This Row],[_Resources]],",",REPT(" ",99)),1,99)))</f>
        <v/>
      </c>
      <c r="DE41" s="42" t="str">
        <f aca="false">IF(Tasks[[#This Row],[_Res1Text]]="","",TRIM(MID(SUBSTITUTE(Tasks[[#This Row],[_Resources]],",",REPT(" ",99)),100,99)))</f>
        <v/>
      </c>
      <c r="DF41" s="42" t="str">
        <f aca="false">IF(Tasks[[#This Row],[_Res2Text]]="","",TRIM(MID(SUBSTITUTE(Tasks[[#This Row],[_Resources]],",",REPT(" ",99)),199,99)))</f>
        <v/>
      </c>
      <c r="DG41" s="42" t="str">
        <f aca="false">IF(Tasks[[#This Row],[_Res3Text]]="","",TRIM(MID(SUBSTITUTE(Tasks[[#This Row],[_Resources]],",",REPT(" ",99)),298,99)))</f>
        <v/>
      </c>
      <c r="DH41" s="42" t="n">
        <f aca="false">IF(Tasks[[#This Row],[_Res1Text]]="",0,IFERROR(MATCH(TRIM(LEFT(Tasks[[#This Row],[_Res1Text]],FIND("[",Tasks[[#This Row],[_Res1Text]]&amp;"[")-1)),res_Name,0),IFERROR(MATCH(TRIM(LEFT(Tasks[[#This Row],[_Res1Text]],FIND("[",Tasks[[#This Row],[_Res1Text]]&amp;"[")-1)),res_Initials,0),0)))</f>
        <v>0</v>
      </c>
      <c r="DI41" s="42" t="n">
        <f aca="false">IF(Tasks[[#This Row],[_Res2Text]]="",0,IFERROR(MATCH(TRIM(LEFT(Tasks[[#This Row],[_Res2Text]],FIND("[",Tasks[[#This Row],[_Res2Text]]&amp;"[")-1)),res_Name,0),IFERROR(MATCH(TRIM(LEFT(Tasks[[#This Row],[_Res2Text]],FIND("[",Tasks[[#This Row],[_Res2Text]]&amp;"[")-1)),res_Initials,0),0)))</f>
        <v>0</v>
      </c>
      <c r="DJ41" s="42" t="n">
        <f aca="false">IF(Tasks[[#This Row],[_Res3Text]]="",0,IFERROR(MATCH(TRIM(LEFT(Tasks[[#This Row],[_Res3Text]],FIND("[",Tasks[[#This Row],[_Res3Text]]&amp;"[")-1)),res_Name,0),IFERROR(MATCH(TRIM(LEFT(Tasks[[#This Row],[_Res3Text]],FIND("[",Tasks[[#This Row],[_Res3Text]]&amp;"[")-1)),res_Initials,0),0)))</f>
        <v>0</v>
      </c>
      <c r="DK41" s="42" t="n">
        <f aca="false">IF(Tasks[[#This Row],[_Res4Text]]="",0,IFERROR(MATCH(TRIM(LEFT(Tasks[[#This Row],[_Res4Text]],FIND("[",Tasks[[#This Row],[_Res4Text]]&amp;"[")-1)),res_Name,0),IFERROR(MATCH(TRIM(LEFT(Tasks[[#This Row],[_Res4Text]],FIND("[",Tasks[[#This Row],[_Res4Text]]&amp;"[")-1)),res_Initials,0),0)))</f>
        <v>0</v>
      </c>
      <c r="DL41" s="42" t="str">
        <f aca="false">IF(Tasks[[#This Row],[_Res1Text]]="","",IF(Tasks[[#This Row],[_Res1Row]]&gt;0,INDEX(res_Name,Tasks[[#This Row],[_Res1Row]]),TRIM(LEFT(Tasks[[#This Row],[_Res1Text]],FIND("[",Tasks[[#This Row],[_Res1Text]]&amp;"[")-1))))</f>
        <v/>
      </c>
      <c r="DM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1" s="42" t="n">
        <f aca="false">IF(NOT(Tasks[[#This Row],[_IsLeaf]]=1),0,(Tasks[[#This Row],[_Resource1]]&lt;&gt;"")+(Tasks[[#This Row],[_Res2]]&lt;&gt;"")+(Tasks[[#This Row],[_Res3]]&lt;&gt;"")+(Tasks[[#This Row],[_Res4]]&lt;&gt;""))</f>
        <v>0</v>
      </c>
      <c r="DO41" s="42" t="str">
        <f aca="false">IF(Tasks[[#This Row],[_Res2Text]]="","",IF(Tasks[[#This Row],[_Res2Row]]&gt;0,INDEX(res_Name,Tasks[[#This Row],[_Res2Row]]),TRIM(LEFT(Tasks[[#This Row],[_Res2Text]],FIND("[",Tasks[[#This Row],[_Res2Text]]&amp;"[")-1))))</f>
        <v/>
      </c>
      <c r="DP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1" s="42" t="n">
        <f aca="false">IF(OR(NOT(Tasks[[#This Row],[_IsLeaf]]=1),Tasks[[#This Row],[_Res2Row]]=0),0,N(Tasks[[#This Row],[_Days]])*HoursPerDay*IF(Tasks[[#This Row],[_Res2Units]]="",DefaultUnits,Tasks[[#This Row],[_Res2Units]]))</f>
        <v>0</v>
      </c>
      <c r="DR41" s="42" t="n">
        <f aca="false">IF(AND(AND(Tasks[[#This Row],[_IsLeaf]]=1,Tasks[[#This Row],[_LeafTotalWork]]&gt;0),Tasks[[#This Row],[_Res2Work]]&gt;0),Tasks[[#This Row],[_Res2Work]]/(Tasks[[#This Row],[_FinishWorkday]]-Tasks[[#This Row],[_StartWorkday]]+1),0)</f>
        <v>0</v>
      </c>
      <c r="DS41" s="42" t="n">
        <f aca="false">Tasks[[#This Row],[_Res2WorkPerWD]]*MAX(0,Tasks[[#This Row],[_StartWorkday]]-1)</f>
        <v>0</v>
      </c>
      <c r="DT41" s="42" t="n">
        <f aca="false">Tasks[[#This Row],[_Res2Work]]*Tasks[[#This Row],[_LeafProgress]]</f>
        <v>0</v>
      </c>
      <c r="DU41" s="42" t="str">
        <f aca="false">IF(Tasks[[#This Row],[_Res3Text]]="","",IF(Tasks[[#This Row],[_Res3Row]]&gt;0,INDEX(res_Name,Tasks[[#This Row],[_Res3Row]]),TRIM(LEFT(Tasks[[#This Row],[_Res3Text]],FIND("[",Tasks[[#This Row],[_Res3Text]]&amp;"[")-1))))</f>
        <v/>
      </c>
      <c r="DV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1" s="42" t="n">
        <f aca="false">IF(OR(NOT(Tasks[[#This Row],[_IsLeaf]]=1),Tasks[[#This Row],[_Res3Row]]=0),0,N(Tasks[[#This Row],[_Days]])*HoursPerDay*IF(Tasks[[#This Row],[_Res3Units]]="",DefaultUnits,Tasks[[#This Row],[_Res3Units]]))</f>
        <v>0</v>
      </c>
      <c r="DX41" s="42" t="n">
        <f aca="false">IF(AND(AND(Tasks[[#This Row],[_IsLeaf]]=1,Tasks[[#This Row],[_LeafTotalWork]]&gt;0),Tasks[[#This Row],[_Res3Work]]&gt;0),Tasks[[#This Row],[_Res3Work]]/(Tasks[[#This Row],[_FinishWorkday]]-Tasks[[#This Row],[_StartWorkday]]+1),0)</f>
        <v>0</v>
      </c>
      <c r="DY41" s="42" t="n">
        <f aca="false">Tasks[[#This Row],[_Res3WorkPerWD]]*MAX(0,Tasks[[#This Row],[_StartWorkday]]-1)</f>
        <v>0</v>
      </c>
      <c r="DZ41" s="42" t="n">
        <f aca="false">Tasks[[#This Row],[_Res3Work]]*Tasks[[#This Row],[_LeafProgress]]</f>
        <v>0</v>
      </c>
      <c r="EA41" s="42" t="str">
        <f aca="false">IF(Tasks[[#This Row],[_Res4Text]]="","",IF(Tasks[[#This Row],[_Res4Row]]&gt;0,INDEX(res_Name,Tasks[[#This Row],[_Res4Row]]),TRIM(LEFT(Tasks[[#This Row],[_Res4Text]],FIND("[",Tasks[[#This Row],[_Res4Text]]&amp;"[")-1))))</f>
        <v/>
      </c>
      <c r="EB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1" s="42" t="n">
        <f aca="false">IF(OR(NOT(Tasks[[#This Row],[_IsLeaf]]=1),Tasks[[#This Row],[_Res4Row]]=0),0,N(Tasks[[#This Row],[_Days]])*HoursPerDay*IF(Tasks[[#This Row],[_Res4Units]]="",DefaultUnits,Tasks[[#This Row],[_Res4Units]]))</f>
        <v>0</v>
      </c>
      <c r="ED41" s="42" t="n">
        <f aca="false">IF(AND(AND(Tasks[[#This Row],[_IsLeaf]]=1,Tasks[[#This Row],[_LeafTotalWork]]&gt;0),Tasks[[#This Row],[_Res4Work]]&gt;0),Tasks[[#This Row],[_Res4Work]]/(Tasks[[#This Row],[_FinishWorkday]]-Tasks[[#This Row],[_StartWorkday]]+1),0)</f>
        <v>0</v>
      </c>
      <c r="EE41" s="42" t="n">
        <f aca="false">Tasks[[#This Row],[_Res4WorkPerWD]]*MAX(0,Tasks[[#This Row],[_StartWorkday]]-1)</f>
        <v>0</v>
      </c>
      <c r="EF41" s="42" t="n">
        <f aca="false">Tasks[[#This Row],[_Res4Work]]*Tasks[[#This Row],[_LeafProgress]]</f>
        <v>0</v>
      </c>
      <c r="EG41" s="42" t="n">
        <f aca="false">IF(ISNUMBER(Tasks[[#This Row],[% Complete]]),Tasks[[#This Row],[% Complete]],IF(Tasks[[#This Row],[Stage]]="",0,IFERROR(INDEX(stg_Pct,MATCH(Tasks[[#This Row],[Stage]],stg_Name,0)),0)))</f>
        <v>0</v>
      </c>
      <c r="EH41" s="42" t="n">
        <f aca="false">IF(NOT(Tasks[[#This Row],[_IsLeaf]]=1),0,IF(N(Tasks[[#This Row],[Actual Finish]])&gt;0,1,MIN(1,Tasks[[#This Row],[_Pct]])))</f>
        <v>0</v>
      </c>
      <c r="EI41" s="42" t="n">
        <f aca="false">IF(OR(NOT(Tasks[[#This Row],[_IsLeaf]]=1),Tasks[[#This Row],[_Res1Row]]=0),0,N(Tasks[[#This Row],[_Days]])*HoursPerDay*IF(Tasks[[#This Row],[_Units1]]="",DefaultUnits,Tasks[[#This Row],[_Units1]]))</f>
        <v>0</v>
      </c>
      <c r="EJ41" s="42" t="n">
        <f aca="false">Tasks[[#This Row],[_LeafWork]]+Tasks[[#This Row],[_Res2Work]]+Tasks[[#This Row],[_Res3Work]]+Tasks[[#This Row],[_Res4Work]]</f>
        <v>0</v>
      </c>
      <c r="EK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1" s="42" t="n">
        <f aca="false">IF(NOT(Tasks[[#This Row],[_IsLeaf]]=1),0,MAX(_xlfn.MAXIFS(Tasks[_Row],Tasks[_Pred1UID],Tasks[[#This Row],[UID]]),_xlfn.MAXIFS(Tasks[_Row],Tasks[_Pred2UID],Tasks[[#This Row],[UID]]),_xlfn.MAXIFS(Tasks[_Row],Tasks[_Pred3UID],Tasks[[#This Row],[UID]]),_xlfn.MAXIFS(Tasks[_Row],Tasks[_Pred4UID],Tasks[[#This Row],[UID]])))</f>
        <v>0</v>
      </c>
      <c r="ET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1" s="89" t="str">
        <f aca="false">IF(NOT(Tasks[[#This Row],[_IsLeaf]]=1),"",IF(N(Tasks[[#This Row],[_Days]])&lt;=0,Tasks[[#This Row],[_LeafLateFinish]],WORKDAY.INTL(Tasks[[#This Row],[_LeafLateFinish]],-(Tasks[[#This Row],[_Days]]-1),WorkWeek,Holidays)))</f>
        <v/>
      </c>
      <c r="EW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1" s="88" t="b">
        <f aca="false">AND(Tasks[[#This Row],[_IsLeaf]]=1,Tasks[[#This Row],[_LeafProgress]]&lt;1,N(Tasks[[#This Row],[_LeafTotalSlack]])&lt;=CriticalSlackDays)</f>
        <v>0</v>
      </c>
      <c r="EY41" s="42" t="n">
        <f aca="false">IF(AND(Tasks[[#This Row],[_IsLeaf]]=1,Tasks[[#This Row],[_ConstraintCode]]=1,Tasks[[#This Row],[Mode]]&lt;&gt;"Manual",N(Tasks[[#This Row],[Actual Start]])=0),MAX(0,N(Tasks[[#This Row],[Free Slack]])),0)</f>
        <v>0</v>
      </c>
      <c r="EZ41" s="89" t="str">
        <f aca="false">IF(NOT(Tasks[[#This Row],[_IsLeaf]]=1),"",IF(Tasks[[#This Row],[_AlapShift]]=0,Tasks[[#This Row],[_LeafCalcStart]],WORKDAY.INTL(Tasks[[#This Row],[_LeafCalcStart]],Tasks[[#This Row],[_AlapShift]],WorkWeek,Holidays)))</f>
        <v/>
      </c>
      <c r="FA41" s="89" t="str">
        <f aca="false">IF(NOT(Tasks[[#This Row],[_IsLeaf]]=1),"",IF(Tasks[[#This Row],[_AlapShift]]=0,Tasks[[#This Row],[_LeafCalcFinish]],WORKDAY.INTL(Tasks[[#This Row],[_LeafCalcFinish]],Tasks[[#This Row],[_AlapShift]],WorkWeek,Holidays)))</f>
        <v/>
      </c>
      <c r="FB41" s="89" t="str">
        <f aca="false">IF(NOT(Tasks[[#This Row],[_IsLeaf]]=1),"",IF(Tasks[[#This Row],[_AlapShift]]=0,Tasks[[#This Row],[_LeafFcstStart]],WORKDAY.INTL(Tasks[[#This Row],[_LeafFcstStart]],Tasks[[#This Row],[_AlapShift]],WorkWeek,Holidays)))</f>
        <v/>
      </c>
      <c r="FC41" s="89" t="str">
        <f aca="false">IF(NOT(Tasks[[#This Row],[_IsLeaf]]=1),"",IF(Tasks[[#This Row],[_AlapShift]]=0,Tasks[[#This Row],[_LeafFcstFinish]],WORKDAY.INTL(Tasks[[#This Row],[_LeafFcstFinish]],Tasks[[#This Row],[_AlapShift]],WorkWeek,Holidays)))</f>
        <v/>
      </c>
      <c r="FD41" s="89" t="str">
        <f aca="false">IF(Tasks[[#This Row],[Task Name]]="","",IF(Tasks[[#This Row],[_IsSummary]],MIN(INDEX(Tasks[_ShownCalcStart],Tasks[[#This Row],[_Row]]+1):INDEX(Tasks[_ShownCalcStart],Tasks[[#This Row],[_Row]]+Tasks[[#This Row],[_Descendants]])),Tasks[[#This Row],[_ShownCalcStart]]))</f>
        <v/>
      </c>
      <c r="FE41" s="89" t="str">
        <f aca="false">IF(Tasks[[#This Row],[Task Name]]="","",IF(Tasks[[#This Row],[_IsSummary]],MAX(INDEX(Tasks[_ShownCalcFinish],Tasks[[#This Row],[_Row]]+1):INDEX(Tasks[_ShownCalcFinish],Tasks[[#This Row],[_Row]]+Tasks[[#This Row],[_Descendants]])),Tasks[[#This Row],[_ShownCalcFinish]]))</f>
        <v/>
      </c>
      <c r="FF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1" s="42" t="n">
        <f aca="false">IF(AND(Tasks[[#This Row],[_IsLeaf]]=1,Tasks[[#This Row],[_LeafTotalWork]]&gt;0),NETWORKDAYS.INTL(ProjectStart,Tasks[[#This Row],[_ShownFcstStart]],WorkWeek,Holidays),0)</f>
        <v>0</v>
      </c>
      <c r="FS41" s="42" t="n">
        <f aca="false">IF(AND(Tasks[[#This Row],[_IsLeaf]]=1,Tasks[[#This Row],[_LeafTotalWork]]&gt;0),MAX(Tasks[[#This Row],[_StartWorkday]],NETWORKDAYS.INTL(ProjectStart,Tasks[[#This Row],[_ShownFcstFinish]],WorkWeek,Holidays)),0)</f>
        <v>0</v>
      </c>
      <c r="FT41" s="42" t="n">
        <f aca="false">IF(AND(Tasks[[#This Row],[_IsLeaf]]=1,Tasks[[#This Row],[_LeafTotalWork]]&gt;0),Tasks[[#This Row],[_LeafWork]]/(Tasks[[#This Row],[_FinishWorkday]]-Tasks[[#This Row],[_StartWorkday]]+1),0)</f>
        <v>0</v>
      </c>
      <c r="FU41" s="42" t="n">
        <f aca="false">Tasks[[#This Row],[_WorkPerWorkday]]*(Tasks[[#This Row],[_StartWorkday]]-1)</f>
        <v>-0</v>
      </c>
      <c r="FV41" s="42" t="n">
        <f aca="false">IF(Tasks[[#This Row],[_IsLeaf]]=1,MAX(N(Tasks[[#This Row],[_Days]]),0.1),0)</f>
        <v>0</v>
      </c>
      <c r="FW41" s="42" t="n">
        <f aca="false">Tasks[[#This Row],[_WeightDur]]*Tasks[[#This Row],[_LeafProgress]]</f>
        <v>0</v>
      </c>
      <c r="FX41" s="42" t="n">
        <f aca="false">Tasks[[#This Row],[_WeightDur]]*Tasks[[#This Row],[_PlannedPct]]</f>
        <v>0</v>
      </c>
      <c r="FY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1" s="42" t="str">
        <f aca="false">IF(AND(Tasks[[#This Row],[_IsLeaf]]=1,N(Tasks[[#This Row],[_Days]])=0,Tasks[[#This Row],[_LeafProgress]]&lt;1),Tasks[[#This Row],[_ShownFcstFinish]]+Tasks[[#This Row],[_Row]]/100000,"")</f>
        <v/>
      </c>
      <c r="GA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1" s="42" t="str">
        <f aca="false">IF(Tasks[[#This Row],[Task Name]]="","",LEFT(Tasks[[#This Row],[WBS]],FIND(".",Tasks[[#This Row],[WBS]]&amp;".")-1))</f>
        <v/>
      </c>
      <c r="GC41" s="42" t="str">
        <f aca="false">IF(AND(Tasks[[#This Row],[Task Name]]&lt;&gt;"",Tasks[[#This Row],[_Level]]=1),Tasks[[#This Row],[_Row]],"")</f>
        <v/>
      </c>
      <c r="GD41" s="42" t="str">
        <f aca="false">IF(AND(Tasks[[#This Row],[_IsLeaf]]=1,N(Tasks[[#This Row],[_Days]])=0),Tasks[[#This Row],[Planned Finish]]+Tasks[[#This Row],[_Row]]/100000,"")</f>
        <v/>
      </c>
      <c r="GE41" s="42" t="str">
        <f aca="false">IF(AND(Tasks[[#This Row],[_IsLeaf]]=1,Tasks[[#This Row],[_LeafProgress]]&lt;1,OR(N(Tasks[[#This Row],[Finish Var]])&gt;0,Tasks[[#This Row],[Status]]="Late Start")),MAX(0,Tasks[[#This Row],[Finish Var]])+1-Tasks[[#This Row],[_Row]]/1000000,"")</f>
        <v/>
      </c>
      <c r="GF41" s="42" t="str">
        <f aca="false">IF(AND(Tasks[[#This Row],[_IsLeaf]]=1,N(Tasks[[#This Row],[Actual Start]])=0,Tasks[[#This Row],[_ShownFcstStart]]&gt;=StatusDate,Tasks[[#This Row],[_ShownFcstStart]]&lt;=LookaheadEnd),Tasks[[#This Row],[_ShownFcstStart]]+Tasks[[#This Row],[_Row]]/100000,"")</f>
        <v/>
      </c>
      <c r="GG41" s="42" t="str">
        <f aca="false">IF(AND(Tasks[[#This Row],[_IsLeaf]]=1,Tasks[[#This Row],[_LeafProgress]]&lt;1,Tasks[[#This Row],[_ShownFcstFinish]]&gt;=StatusDate,Tasks[[#This Row],[_ShownFcstFinish]]&lt;=LookaheadEnd),Tasks[[#This Row],[_ShownFcstFinish]]+Tasks[[#This Row],[_Row]]/100000,"")</f>
        <v/>
      </c>
      <c r="GH41" s="42" t="str">
        <f aca="false">IF(Tasks[[#This Row],[_LeafCritical]],Tasks[[#This Row],[_ShownFcstStart]]+Tasks[[#This Row],[_Row]]/100000,"")</f>
        <v/>
      </c>
      <c r="GI41" s="42" t="n">
        <f aca="false">Tasks[[#This Row],[_LeafWork]]*Tasks[[#This Row],[_LeafProgress]]</f>
        <v>0</v>
      </c>
      <c r="GJ41" s="89" t="str">
        <f aca="false">IF(AND(Tasks[[#This Row],[_IsLeaf]]=1,Tasks[[#This Row],[_LeafProgress]]&gt;=1),IF(N(Tasks[[#This Row],[Actual Finish]])&gt;0,Tasks[[#This Row],[Actual Finish]],Tasks[[#This Row],[_ShownFcstFinish]]),"")</f>
        <v/>
      </c>
      <c r="GK41" s="42" t="n">
        <f aca="false">IF(Tasks[[#This Row],[_IsLeaf]]=1,N(Tasks[[#This Row],[Story Points]]),0)</f>
        <v>0</v>
      </c>
      <c r="GL41" s="42" t="str">
        <f aca="false">""</f>
        <v/>
      </c>
      <c r="GM41" s="88" t="b">
        <f aca="false">IF(Tasks[[#This Row],[Task Name]]="",FALSE(),AND(Tasks[[#This Row],[_IsLeaf]]=1,N(Tasks[[#This Row],[_Days]])=0))</f>
        <v>0</v>
      </c>
      <c r="GN41" s="89" t="n">
        <f aca="false">IF(Tasks[[#This Row],[Task Name]]="",0,IF(AND(Tasks[[#This Row],[_IsLeaf]]=1,NOT(Tasks[[#This Row],[_IsMilestone]]),N(Tasks[[#This Row],[Progress]])&gt;0),Tasks[[#This Row],[Start]],0))</f>
        <v>0</v>
      </c>
      <c r="GO41" s="89" t="n">
        <f aca="false">IF(Tasks[[#This Row],[_DoneFrom]]=0,0,IF(Tasks[[#This Row],[Progress]]&gt;=1,Tasks[[#This Row],[Finish]],MAX(Tasks[[#This Row],[_DoneFrom]],Tasks[[#This Row],[Start]]+ROUND((Tasks[[#This Row],[Finish]]-Tasks[[#This Row],[Start]]+1)*Tasks[[#This Row],[Progress]],0)-1)))</f>
        <v>0</v>
      </c>
      <c r="GP41" s="89" t="n">
        <f aca="false">IF(Tasks[[#This Row],[Task Name]]="",0,IF(OR(NOT(Tasks[[#This Row],[_IsLeaf]]=1),Tasks[[#This Row],[_IsMilestone]],N(Tasks[[#This Row],[Progress]])&gt;=1),0,IF(Tasks[[#This Row],[_DoneTo]]&gt;0,Tasks[[#This Row],[_DoneTo]]+1,Tasks[[#This Row],[Start]])))</f>
        <v>0</v>
      </c>
      <c r="GQ41" s="89" t="n">
        <f aca="false">IF(Tasks[[#This Row],[_RemFrom]]=0,0,Tasks[[#This Row],[Finish]])</f>
        <v>0</v>
      </c>
      <c r="GR41" s="88" t="b">
        <f aca="false">IF(Tasks[[#This Row],[Task Name]]="",FALSE(),OR(NOT(BaselineSet),N(Tasks[[#This Row],[Baseline Start]])&gt;0))</f>
        <v>0</v>
      </c>
      <c r="GS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1" s="90" t="str">
        <f aca="false">IF(Tasks[[#This Row],[_IsLeaf]]=1,Tasks[[#This Row],[_Row]],"")</f>
        <v/>
      </c>
      <c r="GW41" s="90" t="str">
        <f aca="false">IFERROR(INDEX(Tasks[UID],SMALL(Tasks[_PickKey],Tasks[[#This Row],[_Row]]))&amp;" "&amp;INDEX(Tasks[Task Name],SMALL(Tasks[_PickKey],Tasks[[#This Row],[_Row]])),"")</f>
        <v/>
      </c>
      <c r="GX41" s="42" t="str">
        <f aca="false">IF(Tasks[[#This Row],[Task Name]]="","",IF(Tasks[[#This Row],[_IsSummary]],NETWORKDAYS.INTL(Tasks[[#This Row],[Start]],Tasks[[#This Row],[Finish]],WorkWeek,Holidays),N(Tasks[[#This Row],[_Days]])))</f>
        <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3"/>
      <c r="U42" s="23"/>
      <c r="V42" s="83"/>
      <c r="W42" s="23"/>
      <c r="X42" s="83"/>
      <c r="Y42" s="23"/>
      <c r="Z42" s="83"/>
      <c r="AA42" s="23"/>
      <c r="AB42" s="23"/>
      <c r="AC42" s="7"/>
      <c r="AD42" s="7"/>
      <c r="AE42" s="62" t="str">
        <f aca="false">IF(Tasks[[#This Row],[Task Name]]="","",IF(Tasks[[#This Row],[_IsSummary]],MIN(INDEX(Tasks[_ShownFcstStart],Tasks[[#This Row],[_Row]]+1):INDEX(Tasks[_ShownFcstStart],Tasks[[#This Row],[_Row]]+Tasks[[#This Row],[_Descendants]])),Tasks[[#This Row],[_ShownFcstStart]]))</f>
        <v/>
      </c>
      <c r="AF42" s="62"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2" s="7"/>
      <c r="AK42" s="22"/>
      <c r="AL42" s="23"/>
      <c r="AM42" s="7"/>
      <c r="AN42" s="46"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2" t="str">
        <f aca="false">IF(Tasks[[#This Row],[Task Name]]="","",IF(N(Tasks[[#This Row],[Baseline Start]])&gt;0,Tasks[[#This Row],[Baseline Start]],Tasks[[#This Row],[_CalcStart]]))</f>
        <v/>
      </c>
      <c r="AR42" s="62" t="str">
        <f aca="false">IF(Tasks[[#This Row],[Task Name]]="","",IF(N(Tasks[[#This Row],[Baseline Finish]])&gt;0,Tasks[[#This Row],[Baseline Finish]],Tasks[[#This Row],[_CalcFinish]]))</f>
        <v/>
      </c>
      <c r="AS42" s="46" t="str">
        <f aca="false">IF(Tasks[[#This Row],[Task Name]]="","",IF(Tasks[[#This Row],[Start]]&gt;=Tasks[[#This Row],[Planned Start]],NETWORKDAYS.INTL(Tasks[[#This Row],[Planned Start]],Tasks[[#This Row],[Start]],WorkWeek,Holidays)-1,1-NETWORKDAYS.INTL(Tasks[[#This Row],[Start]],Tasks[[#This Row],[Planned Start]],WorkWeek,Holidays)))</f>
        <v/>
      </c>
      <c r="AT42" s="62" t="str">
        <f aca="false">IF(Tasks[[#This Row],[Task Name]]="","",IF(Tasks[[#This Row],[_IsSummary]],MIN(INDEX(Tasks[_LeafLateStart],Tasks[[#This Row],[_Row]]+1):INDEX(Tasks[_LeafLateStart],Tasks[[#This Row],[_Row]]+Tasks[[#This Row],[_Descendants]])),Tasks[[#This Row],[_LeafLateStart]]))</f>
        <v/>
      </c>
      <c r="AU42" s="62" t="str">
        <f aca="false">IF(Tasks[[#This Row],[Task Name]]="","",IF(Tasks[[#This Row],[_IsSummary]],MAX(INDEX(Tasks[_LeafLateFinish],Tasks[[#This Row],[_Row]]+1):INDEX(Tasks[_LeafLateFinish],Tasks[[#This Row],[_Row]]+Tasks[[#This Row],[_Descendants]])),Tasks[[#This Row],[_LeafLateFinish]]))</f>
        <v/>
      </c>
      <c r="AV42" s="46"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4"/>
      <c r="BA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5"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6"/>
      <c r="BJ42" s="22"/>
      <c r="BK42" s="46" t="str">
        <f aca="false">IF(OR(Tasks[[#This Row],[Task Name]]="",Tasks[[#This Row],[Baseline Duration]]=""),"",Tasks[[#This Row],[_SpanDays]]-N(Tasks[[#This Row],[Baseline Duration]]))</f>
        <v/>
      </c>
      <c r="BL42" s="85" t="str">
        <f aca="false">IF(OR(Tasks[[#This Row],[Task Name]]="",Tasks[[#This Row],[Baseline Work]]=""),"",Tasks[[#This Row],[Work]]-N(Tasks[[#This Row],[Baseline Work]]))</f>
        <v/>
      </c>
      <c r="BM42" s="62" t="str">
        <f aca="false">IF(Tasks[[#This Row],[Task Name]]="","",IF(OR(TakeBaseline="Yes",N(Tasks[[#This Row],[Baseline Start]])=0),Tasks[[#This Row],[Start]],Tasks[[#This Row],[Baseline Start]]))</f>
        <v/>
      </c>
      <c r="BN42" s="62"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5" t="str">
        <f aca="false">IF(Tasks[[#This Row],[Task Name]]="","",IF(OR(TakeBaseline="Yes",N(Tasks[[#This Row],[Baseline Work]])=0),Tasks[[#This Row],[Work]],Tasks[[#This Row],[Baseline Work]]))</f>
        <v/>
      </c>
      <c r="BQ42" s="7"/>
      <c r="BR42" s="7"/>
      <c r="BS42" s="22"/>
      <c r="BT42" s="87"/>
      <c r="BU42" s="42" t="str">
        <f aca="false">IF(Tasks[[#This Row],[Task Name]]="","",MAX(1,N(Tasks[[#This Row],[Level]])))</f>
        <v/>
      </c>
      <c r="BV42" s="42" t="n">
        <f aca="false">ROW()-ROW(Tasks[[#Headers],[ID]])</f>
        <v>37</v>
      </c>
      <c r="BW42" s="42" t="n">
        <f aca="false">IF(OR(Tasks[[#This Row],[Task Name]]="",Tasks[[#This Row],[_Level]]&lt;=1),0,IFERROR(LOOKUP(2,1/(Tasks[[#Headers],[_Level]]:Tasks[[#This Row],[_Level]]=Tasks[[#This Row],[_Level]]-1),ROW(Tasks[[#Headers],[_Level]]:Tasks[[#This Row],[_Level]])),0))</f>
        <v>0</v>
      </c>
      <c r="BX42" s="42" t="n">
        <f aca="false">IFERROR(N(INDEX(Tasks[_Level],Tasks[[#This Row],[_Row]]+1)),0)</f>
        <v>0</v>
      </c>
      <c r="BY42" s="88" t="b">
        <f aca="false">AND(Tasks[[#This Row],[Task Name]]&lt;&gt;"",Tasks[[#This Row],[_NextLevel]]&gt;Tasks[[#This Row],[_Level]])</f>
        <v>0</v>
      </c>
      <c r="BZ42" s="42" t="n">
        <f aca="false">IF(Tasks[[#This Row],[_IsSummary]],COUNTIF(Tasks[WBS],Tasks[[#This Row],[WBS]]&amp;".*"),0)</f>
        <v>0</v>
      </c>
      <c r="CA42" s="42" t="n">
        <f aca="false">IF(AND(Tasks[[#This Row],[Task Name]]&lt;&gt;"",NOT(Tasks[[#This Row],[_IsSummary]])),1,0)</f>
        <v>0</v>
      </c>
      <c r="CB42" s="42" t="n">
        <f aca="false">IF(N(Tasks[[#This Row],[_Pred1UID]])=0,0,IFERROR(MATCH(Tasks[[#This Row],[_Pred1UID]],Tasks[UID],0),-1))</f>
        <v>0</v>
      </c>
      <c r="CC42" s="42" t="n">
        <f aca="false">IF(N(Tasks[[#This Row],[_Pred2UID]])=0,0,IFERROR(MATCH(Tasks[[#This Row],[_Pred2UID]],Tasks[UID],0),-1))</f>
        <v>0</v>
      </c>
      <c r="CD42" s="42" t="n">
        <f aca="false">IF(N(Tasks[[#This Row],[_Pred3UID]])=0,0,IFERROR(MATCH(Tasks[[#This Row],[_Pred3UID]],Tasks[UID],0),-1))</f>
        <v>0</v>
      </c>
      <c r="CE42" s="42" t="n">
        <f aca="false">IF(N(Tasks[[#This Row],[_Pred4UID]])=0,0,IFERROR(MATCH(Tasks[[#This Row],[_Pred4UID]],Tasks[UID],0),-1))</f>
        <v>0</v>
      </c>
      <c r="CF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2" s="89" t="n">
        <f aca="false">IF(OR(Tasks[[#This Row],[_ConstraintCode]]=2,Tasks[[#This Row],[_ConstraintCode]]=3,Tasks[[#This Row],[_ConstraintCode]]=4,Tasks[[#This Row],[_ConstraintCode]]=6),Tasks[[#This Row],[_ConstraintStart]],0)</f>
        <v>0</v>
      </c>
      <c r="CI42" s="89" t="n">
        <f aca="false">IF(OR(Tasks[[#This Row],[_ConstraintCode]]=2,Tasks[[#This Row],[_ConstraintCode]]=3,Tasks[[#This Row],[_ConstraintCode]]=5,Tasks[[#This Row],[_ConstraintCode]]=7),Tasks[[#This Row],[_ConstraintStart]],2958465)</f>
        <v>2958465</v>
      </c>
      <c r="CJ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2" s="89" t="str">
        <f aca="false">IF(NOT(Tasks[[#This Row],[_IsLeaf]]=1),"",IF(N(Tasks[[#This Row],[_Days]])&lt;=0,Tasks[[#This Row],[_LeafCalcStart]],WORKDAY.INTL(Tasks[[#This Row],[_LeafCalcStart]],Tasks[[#This Row],[_Days]]-1,WorkWeek,Holidays)))</f>
        <v/>
      </c>
      <c r="CL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2" s="42" t="str">
        <f aca="false">IF(Tasks[[#This Row],[_Predecessors]]="","",TRIM(MID(SUBSTITUTE(SUBSTITUTE(SUBSTITUTE(UPPER(Tasks[[#This Row],[_Predecessors]]),";",",")," ",""),",",REPT(" ",99)),1,99)))</f>
        <v/>
      </c>
      <c r="CO42" s="42" t="str">
        <f aca="false">IF(Tasks[[#This Row],[_Pred1Text]]="","",IFERROR(VALUE(LEFT(Tasks[[#This Row],[_Pred1Text]],MIN(FIND("F",Tasks[[#This Row],[_Pred1Text]]&amp;"F"),FIND("S",Tasks[[#This Row],[_Pred1Text]]&amp;"S"),FIND("+",Tasks[[#This Row],[_Pred1Text]]&amp;"+"),FIND("-",Tasks[[#This Row],[_Pred1Text]]&amp;"-"))-1)),""))</f>
        <v/>
      </c>
      <c r="CP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2" s="42" t="str">
        <f aca="false">IF(Tasks[[#This Row],[_Pred1Text]]="","",TRIM(MID(SUBSTITUTE(SUBSTITUTE(SUBSTITUTE(UPPER(Tasks[[#This Row],[_Predecessors]]),";",",")," ",""),",",REPT(" ",99)),100,99)))</f>
        <v/>
      </c>
      <c r="CS42" s="42" t="str">
        <f aca="false">IF(Tasks[[#This Row],[_Pred2Text]]="","",IFERROR(VALUE(LEFT(Tasks[[#This Row],[_Pred2Text]],MIN(FIND("F",Tasks[[#This Row],[_Pred2Text]]&amp;"F"),FIND("S",Tasks[[#This Row],[_Pred2Text]]&amp;"S"),FIND("+",Tasks[[#This Row],[_Pred2Text]]&amp;"+"),FIND("-",Tasks[[#This Row],[_Pred2Text]]&amp;"-"))-1)),""))</f>
        <v/>
      </c>
      <c r="CT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2" s="42" t="str">
        <f aca="false">IF(Tasks[[#This Row],[_Pred2Text]]="","",TRIM(MID(SUBSTITUTE(SUBSTITUTE(SUBSTITUTE(UPPER(Tasks[[#This Row],[_Predecessors]]),";",",")," ",""),",",REPT(" ",99)),199,99)))</f>
        <v/>
      </c>
      <c r="CW42" s="42" t="str">
        <f aca="false">IF(Tasks[[#This Row],[_Pred3Text]]="","",IFERROR(VALUE(LEFT(Tasks[[#This Row],[_Pred3Text]],MIN(FIND("F",Tasks[[#This Row],[_Pred3Text]]&amp;"F"),FIND("S",Tasks[[#This Row],[_Pred3Text]]&amp;"S"),FIND("+",Tasks[[#This Row],[_Pred3Text]]&amp;"+"),FIND("-",Tasks[[#This Row],[_Pred3Text]]&amp;"-"))-1)),""))</f>
        <v/>
      </c>
      <c r="CX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2" s="42" t="str">
        <f aca="false">IF(Tasks[[#This Row],[_Pred3Text]]="","",TRIM(MID(SUBSTITUTE(SUBSTITUTE(SUBSTITUTE(UPPER(Tasks[[#This Row],[_Predecessors]]),";",",")," ",""),",",REPT(" ",99)),298,99)))</f>
        <v/>
      </c>
      <c r="DA42" s="42" t="str">
        <f aca="false">IF(Tasks[[#This Row],[_Pred4Text]]="","",IFERROR(VALUE(LEFT(Tasks[[#This Row],[_Pred4Text]],MIN(FIND("F",Tasks[[#This Row],[_Pred4Text]]&amp;"F"),FIND("S",Tasks[[#This Row],[_Pred4Text]]&amp;"S"),FIND("+",Tasks[[#This Row],[_Pred4Text]]&amp;"+"),FIND("-",Tasks[[#This Row],[_Pred4Text]]&amp;"-"))-1)),""))</f>
        <v/>
      </c>
      <c r="DB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2" s="42" t="str">
        <f aca="false">IF(OR(Tasks[[#This Row],[Task Name]]="",Tasks[[#This Row],[_Resources]]=""),"",TRIM(MID(SUBSTITUTE(Tasks[[#This Row],[_Resources]],",",REPT(" ",99)),1,99)))</f>
        <v/>
      </c>
      <c r="DE42" s="42" t="str">
        <f aca="false">IF(Tasks[[#This Row],[_Res1Text]]="","",TRIM(MID(SUBSTITUTE(Tasks[[#This Row],[_Resources]],",",REPT(" ",99)),100,99)))</f>
        <v/>
      </c>
      <c r="DF42" s="42" t="str">
        <f aca="false">IF(Tasks[[#This Row],[_Res2Text]]="","",TRIM(MID(SUBSTITUTE(Tasks[[#This Row],[_Resources]],",",REPT(" ",99)),199,99)))</f>
        <v/>
      </c>
      <c r="DG42" s="42" t="str">
        <f aca="false">IF(Tasks[[#This Row],[_Res3Text]]="","",TRIM(MID(SUBSTITUTE(Tasks[[#This Row],[_Resources]],",",REPT(" ",99)),298,99)))</f>
        <v/>
      </c>
      <c r="DH42" s="42" t="n">
        <f aca="false">IF(Tasks[[#This Row],[_Res1Text]]="",0,IFERROR(MATCH(TRIM(LEFT(Tasks[[#This Row],[_Res1Text]],FIND("[",Tasks[[#This Row],[_Res1Text]]&amp;"[")-1)),res_Name,0),IFERROR(MATCH(TRIM(LEFT(Tasks[[#This Row],[_Res1Text]],FIND("[",Tasks[[#This Row],[_Res1Text]]&amp;"[")-1)),res_Initials,0),0)))</f>
        <v>0</v>
      </c>
      <c r="DI42" s="42" t="n">
        <f aca="false">IF(Tasks[[#This Row],[_Res2Text]]="",0,IFERROR(MATCH(TRIM(LEFT(Tasks[[#This Row],[_Res2Text]],FIND("[",Tasks[[#This Row],[_Res2Text]]&amp;"[")-1)),res_Name,0),IFERROR(MATCH(TRIM(LEFT(Tasks[[#This Row],[_Res2Text]],FIND("[",Tasks[[#This Row],[_Res2Text]]&amp;"[")-1)),res_Initials,0),0)))</f>
        <v>0</v>
      </c>
      <c r="DJ42" s="42" t="n">
        <f aca="false">IF(Tasks[[#This Row],[_Res3Text]]="",0,IFERROR(MATCH(TRIM(LEFT(Tasks[[#This Row],[_Res3Text]],FIND("[",Tasks[[#This Row],[_Res3Text]]&amp;"[")-1)),res_Name,0),IFERROR(MATCH(TRIM(LEFT(Tasks[[#This Row],[_Res3Text]],FIND("[",Tasks[[#This Row],[_Res3Text]]&amp;"[")-1)),res_Initials,0),0)))</f>
        <v>0</v>
      </c>
      <c r="DK42" s="42" t="n">
        <f aca="false">IF(Tasks[[#This Row],[_Res4Text]]="",0,IFERROR(MATCH(TRIM(LEFT(Tasks[[#This Row],[_Res4Text]],FIND("[",Tasks[[#This Row],[_Res4Text]]&amp;"[")-1)),res_Name,0),IFERROR(MATCH(TRIM(LEFT(Tasks[[#This Row],[_Res4Text]],FIND("[",Tasks[[#This Row],[_Res4Text]]&amp;"[")-1)),res_Initials,0),0)))</f>
        <v>0</v>
      </c>
      <c r="DL42" s="42" t="str">
        <f aca="false">IF(Tasks[[#This Row],[_Res1Text]]="","",IF(Tasks[[#This Row],[_Res1Row]]&gt;0,INDEX(res_Name,Tasks[[#This Row],[_Res1Row]]),TRIM(LEFT(Tasks[[#This Row],[_Res1Text]],FIND("[",Tasks[[#This Row],[_Res1Text]]&amp;"[")-1))))</f>
        <v/>
      </c>
      <c r="DM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2" s="42" t="n">
        <f aca="false">IF(NOT(Tasks[[#This Row],[_IsLeaf]]=1),0,(Tasks[[#This Row],[_Resource1]]&lt;&gt;"")+(Tasks[[#This Row],[_Res2]]&lt;&gt;"")+(Tasks[[#This Row],[_Res3]]&lt;&gt;"")+(Tasks[[#This Row],[_Res4]]&lt;&gt;""))</f>
        <v>0</v>
      </c>
      <c r="DO42" s="42" t="str">
        <f aca="false">IF(Tasks[[#This Row],[_Res2Text]]="","",IF(Tasks[[#This Row],[_Res2Row]]&gt;0,INDEX(res_Name,Tasks[[#This Row],[_Res2Row]]),TRIM(LEFT(Tasks[[#This Row],[_Res2Text]],FIND("[",Tasks[[#This Row],[_Res2Text]]&amp;"[")-1))))</f>
        <v/>
      </c>
      <c r="DP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2" s="42" t="n">
        <f aca="false">IF(OR(NOT(Tasks[[#This Row],[_IsLeaf]]=1),Tasks[[#This Row],[_Res2Row]]=0),0,N(Tasks[[#This Row],[_Days]])*HoursPerDay*IF(Tasks[[#This Row],[_Res2Units]]="",DefaultUnits,Tasks[[#This Row],[_Res2Units]]))</f>
        <v>0</v>
      </c>
      <c r="DR42" s="42" t="n">
        <f aca="false">IF(AND(AND(Tasks[[#This Row],[_IsLeaf]]=1,Tasks[[#This Row],[_LeafTotalWork]]&gt;0),Tasks[[#This Row],[_Res2Work]]&gt;0),Tasks[[#This Row],[_Res2Work]]/(Tasks[[#This Row],[_FinishWorkday]]-Tasks[[#This Row],[_StartWorkday]]+1),0)</f>
        <v>0</v>
      </c>
      <c r="DS42" s="42" t="n">
        <f aca="false">Tasks[[#This Row],[_Res2WorkPerWD]]*MAX(0,Tasks[[#This Row],[_StartWorkday]]-1)</f>
        <v>0</v>
      </c>
      <c r="DT42" s="42" t="n">
        <f aca="false">Tasks[[#This Row],[_Res2Work]]*Tasks[[#This Row],[_LeafProgress]]</f>
        <v>0</v>
      </c>
      <c r="DU42" s="42" t="str">
        <f aca="false">IF(Tasks[[#This Row],[_Res3Text]]="","",IF(Tasks[[#This Row],[_Res3Row]]&gt;0,INDEX(res_Name,Tasks[[#This Row],[_Res3Row]]),TRIM(LEFT(Tasks[[#This Row],[_Res3Text]],FIND("[",Tasks[[#This Row],[_Res3Text]]&amp;"[")-1))))</f>
        <v/>
      </c>
      <c r="DV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2" s="42" t="n">
        <f aca="false">IF(OR(NOT(Tasks[[#This Row],[_IsLeaf]]=1),Tasks[[#This Row],[_Res3Row]]=0),0,N(Tasks[[#This Row],[_Days]])*HoursPerDay*IF(Tasks[[#This Row],[_Res3Units]]="",DefaultUnits,Tasks[[#This Row],[_Res3Units]]))</f>
        <v>0</v>
      </c>
      <c r="DX42" s="42" t="n">
        <f aca="false">IF(AND(AND(Tasks[[#This Row],[_IsLeaf]]=1,Tasks[[#This Row],[_LeafTotalWork]]&gt;0),Tasks[[#This Row],[_Res3Work]]&gt;0),Tasks[[#This Row],[_Res3Work]]/(Tasks[[#This Row],[_FinishWorkday]]-Tasks[[#This Row],[_StartWorkday]]+1),0)</f>
        <v>0</v>
      </c>
      <c r="DY42" s="42" t="n">
        <f aca="false">Tasks[[#This Row],[_Res3WorkPerWD]]*MAX(0,Tasks[[#This Row],[_StartWorkday]]-1)</f>
        <v>0</v>
      </c>
      <c r="DZ42" s="42" t="n">
        <f aca="false">Tasks[[#This Row],[_Res3Work]]*Tasks[[#This Row],[_LeafProgress]]</f>
        <v>0</v>
      </c>
      <c r="EA42" s="42" t="str">
        <f aca="false">IF(Tasks[[#This Row],[_Res4Text]]="","",IF(Tasks[[#This Row],[_Res4Row]]&gt;0,INDEX(res_Name,Tasks[[#This Row],[_Res4Row]]),TRIM(LEFT(Tasks[[#This Row],[_Res4Text]],FIND("[",Tasks[[#This Row],[_Res4Text]]&amp;"[")-1))))</f>
        <v/>
      </c>
      <c r="EB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2" s="42" t="n">
        <f aca="false">IF(OR(NOT(Tasks[[#This Row],[_IsLeaf]]=1),Tasks[[#This Row],[_Res4Row]]=0),0,N(Tasks[[#This Row],[_Days]])*HoursPerDay*IF(Tasks[[#This Row],[_Res4Units]]="",DefaultUnits,Tasks[[#This Row],[_Res4Units]]))</f>
        <v>0</v>
      </c>
      <c r="ED42" s="42" t="n">
        <f aca="false">IF(AND(AND(Tasks[[#This Row],[_IsLeaf]]=1,Tasks[[#This Row],[_LeafTotalWork]]&gt;0),Tasks[[#This Row],[_Res4Work]]&gt;0),Tasks[[#This Row],[_Res4Work]]/(Tasks[[#This Row],[_FinishWorkday]]-Tasks[[#This Row],[_StartWorkday]]+1),0)</f>
        <v>0</v>
      </c>
      <c r="EE42" s="42" t="n">
        <f aca="false">Tasks[[#This Row],[_Res4WorkPerWD]]*MAX(0,Tasks[[#This Row],[_StartWorkday]]-1)</f>
        <v>0</v>
      </c>
      <c r="EF42" s="42" t="n">
        <f aca="false">Tasks[[#This Row],[_Res4Work]]*Tasks[[#This Row],[_LeafProgress]]</f>
        <v>0</v>
      </c>
      <c r="EG42" s="42" t="n">
        <f aca="false">IF(ISNUMBER(Tasks[[#This Row],[% Complete]]),Tasks[[#This Row],[% Complete]],IF(Tasks[[#This Row],[Stage]]="",0,IFERROR(INDEX(stg_Pct,MATCH(Tasks[[#This Row],[Stage]],stg_Name,0)),0)))</f>
        <v>0</v>
      </c>
      <c r="EH42" s="42" t="n">
        <f aca="false">IF(NOT(Tasks[[#This Row],[_IsLeaf]]=1),0,IF(N(Tasks[[#This Row],[Actual Finish]])&gt;0,1,MIN(1,Tasks[[#This Row],[_Pct]])))</f>
        <v>0</v>
      </c>
      <c r="EI42" s="42" t="n">
        <f aca="false">IF(OR(NOT(Tasks[[#This Row],[_IsLeaf]]=1),Tasks[[#This Row],[_Res1Row]]=0),0,N(Tasks[[#This Row],[_Days]])*HoursPerDay*IF(Tasks[[#This Row],[_Units1]]="",DefaultUnits,Tasks[[#This Row],[_Units1]]))</f>
        <v>0</v>
      </c>
      <c r="EJ42" s="42" t="n">
        <f aca="false">Tasks[[#This Row],[_LeafWork]]+Tasks[[#This Row],[_Res2Work]]+Tasks[[#This Row],[_Res3Work]]+Tasks[[#This Row],[_Res4Work]]</f>
        <v>0</v>
      </c>
      <c r="EK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2" s="42" t="n">
        <f aca="false">IF(NOT(Tasks[[#This Row],[_IsLeaf]]=1),0,MAX(_xlfn.MAXIFS(Tasks[_Row],Tasks[_Pred1UID],Tasks[[#This Row],[UID]]),_xlfn.MAXIFS(Tasks[_Row],Tasks[_Pred2UID],Tasks[[#This Row],[UID]]),_xlfn.MAXIFS(Tasks[_Row],Tasks[_Pred3UID],Tasks[[#This Row],[UID]]),_xlfn.MAXIFS(Tasks[_Row],Tasks[_Pred4UID],Tasks[[#This Row],[UID]])))</f>
        <v>0</v>
      </c>
      <c r="ET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2" s="89" t="str">
        <f aca="false">IF(NOT(Tasks[[#This Row],[_IsLeaf]]=1),"",IF(N(Tasks[[#This Row],[_Days]])&lt;=0,Tasks[[#This Row],[_LeafLateFinish]],WORKDAY.INTL(Tasks[[#This Row],[_LeafLateFinish]],-(Tasks[[#This Row],[_Days]]-1),WorkWeek,Holidays)))</f>
        <v/>
      </c>
      <c r="EW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2" s="88" t="b">
        <f aca="false">AND(Tasks[[#This Row],[_IsLeaf]]=1,Tasks[[#This Row],[_LeafProgress]]&lt;1,N(Tasks[[#This Row],[_LeafTotalSlack]])&lt;=CriticalSlackDays)</f>
        <v>0</v>
      </c>
      <c r="EY42" s="42" t="n">
        <f aca="false">IF(AND(Tasks[[#This Row],[_IsLeaf]]=1,Tasks[[#This Row],[_ConstraintCode]]=1,Tasks[[#This Row],[Mode]]&lt;&gt;"Manual",N(Tasks[[#This Row],[Actual Start]])=0),MAX(0,N(Tasks[[#This Row],[Free Slack]])),0)</f>
        <v>0</v>
      </c>
      <c r="EZ42" s="89" t="str">
        <f aca="false">IF(NOT(Tasks[[#This Row],[_IsLeaf]]=1),"",IF(Tasks[[#This Row],[_AlapShift]]=0,Tasks[[#This Row],[_LeafCalcStart]],WORKDAY.INTL(Tasks[[#This Row],[_LeafCalcStart]],Tasks[[#This Row],[_AlapShift]],WorkWeek,Holidays)))</f>
        <v/>
      </c>
      <c r="FA42" s="89" t="str">
        <f aca="false">IF(NOT(Tasks[[#This Row],[_IsLeaf]]=1),"",IF(Tasks[[#This Row],[_AlapShift]]=0,Tasks[[#This Row],[_LeafCalcFinish]],WORKDAY.INTL(Tasks[[#This Row],[_LeafCalcFinish]],Tasks[[#This Row],[_AlapShift]],WorkWeek,Holidays)))</f>
        <v/>
      </c>
      <c r="FB42" s="89" t="str">
        <f aca="false">IF(NOT(Tasks[[#This Row],[_IsLeaf]]=1),"",IF(Tasks[[#This Row],[_AlapShift]]=0,Tasks[[#This Row],[_LeafFcstStart]],WORKDAY.INTL(Tasks[[#This Row],[_LeafFcstStart]],Tasks[[#This Row],[_AlapShift]],WorkWeek,Holidays)))</f>
        <v/>
      </c>
      <c r="FC42" s="89" t="str">
        <f aca="false">IF(NOT(Tasks[[#This Row],[_IsLeaf]]=1),"",IF(Tasks[[#This Row],[_AlapShift]]=0,Tasks[[#This Row],[_LeafFcstFinish]],WORKDAY.INTL(Tasks[[#This Row],[_LeafFcstFinish]],Tasks[[#This Row],[_AlapShift]],WorkWeek,Holidays)))</f>
        <v/>
      </c>
      <c r="FD42" s="89" t="str">
        <f aca="false">IF(Tasks[[#This Row],[Task Name]]="","",IF(Tasks[[#This Row],[_IsSummary]],MIN(INDEX(Tasks[_ShownCalcStart],Tasks[[#This Row],[_Row]]+1):INDEX(Tasks[_ShownCalcStart],Tasks[[#This Row],[_Row]]+Tasks[[#This Row],[_Descendants]])),Tasks[[#This Row],[_ShownCalcStart]]))</f>
        <v/>
      </c>
      <c r="FE42" s="89" t="str">
        <f aca="false">IF(Tasks[[#This Row],[Task Name]]="","",IF(Tasks[[#This Row],[_IsSummary]],MAX(INDEX(Tasks[_ShownCalcFinish],Tasks[[#This Row],[_Row]]+1):INDEX(Tasks[_ShownCalcFinish],Tasks[[#This Row],[_Row]]+Tasks[[#This Row],[_Descendants]])),Tasks[[#This Row],[_ShownCalcFinish]]))</f>
        <v/>
      </c>
      <c r="FF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2" s="42" t="n">
        <f aca="false">IF(AND(Tasks[[#This Row],[_IsLeaf]]=1,Tasks[[#This Row],[_LeafTotalWork]]&gt;0),NETWORKDAYS.INTL(ProjectStart,Tasks[[#This Row],[_ShownFcstStart]],WorkWeek,Holidays),0)</f>
        <v>0</v>
      </c>
      <c r="FS42" s="42" t="n">
        <f aca="false">IF(AND(Tasks[[#This Row],[_IsLeaf]]=1,Tasks[[#This Row],[_LeafTotalWork]]&gt;0),MAX(Tasks[[#This Row],[_StartWorkday]],NETWORKDAYS.INTL(ProjectStart,Tasks[[#This Row],[_ShownFcstFinish]],WorkWeek,Holidays)),0)</f>
        <v>0</v>
      </c>
      <c r="FT42" s="42" t="n">
        <f aca="false">IF(AND(Tasks[[#This Row],[_IsLeaf]]=1,Tasks[[#This Row],[_LeafTotalWork]]&gt;0),Tasks[[#This Row],[_LeafWork]]/(Tasks[[#This Row],[_FinishWorkday]]-Tasks[[#This Row],[_StartWorkday]]+1),0)</f>
        <v>0</v>
      </c>
      <c r="FU42" s="42" t="n">
        <f aca="false">Tasks[[#This Row],[_WorkPerWorkday]]*(Tasks[[#This Row],[_StartWorkday]]-1)</f>
        <v>-0</v>
      </c>
      <c r="FV42" s="42" t="n">
        <f aca="false">IF(Tasks[[#This Row],[_IsLeaf]]=1,MAX(N(Tasks[[#This Row],[_Days]]),0.1),0)</f>
        <v>0</v>
      </c>
      <c r="FW42" s="42" t="n">
        <f aca="false">Tasks[[#This Row],[_WeightDur]]*Tasks[[#This Row],[_LeafProgress]]</f>
        <v>0</v>
      </c>
      <c r="FX42" s="42" t="n">
        <f aca="false">Tasks[[#This Row],[_WeightDur]]*Tasks[[#This Row],[_PlannedPct]]</f>
        <v>0</v>
      </c>
      <c r="FY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2" s="42" t="str">
        <f aca="false">IF(AND(Tasks[[#This Row],[_IsLeaf]]=1,N(Tasks[[#This Row],[_Days]])=0,Tasks[[#This Row],[_LeafProgress]]&lt;1),Tasks[[#This Row],[_ShownFcstFinish]]+Tasks[[#This Row],[_Row]]/100000,"")</f>
        <v/>
      </c>
      <c r="GA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2" s="42" t="str">
        <f aca="false">IF(Tasks[[#This Row],[Task Name]]="","",LEFT(Tasks[[#This Row],[WBS]],FIND(".",Tasks[[#This Row],[WBS]]&amp;".")-1))</f>
        <v/>
      </c>
      <c r="GC42" s="42" t="str">
        <f aca="false">IF(AND(Tasks[[#This Row],[Task Name]]&lt;&gt;"",Tasks[[#This Row],[_Level]]=1),Tasks[[#This Row],[_Row]],"")</f>
        <v/>
      </c>
      <c r="GD42" s="42" t="str">
        <f aca="false">IF(AND(Tasks[[#This Row],[_IsLeaf]]=1,N(Tasks[[#This Row],[_Days]])=0),Tasks[[#This Row],[Planned Finish]]+Tasks[[#This Row],[_Row]]/100000,"")</f>
        <v/>
      </c>
      <c r="GE42" s="42" t="str">
        <f aca="false">IF(AND(Tasks[[#This Row],[_IsLeaf]]=1,Tasks[[#This Row],[_LeafProgress]]&lt;1,OR(N(Tasks[[#This Row],[Finish Var]])&gt;0,Tasks[[#This Row],[Status]]="Late Start")),MAX(0,Tasks[[#This Row],[Finish Var]])+1-Tasks[[#This Row],[_Row]]/1000000,"")</f>
        <v/>
      </c>
      <c r="GF42" s="42" t="str">
        <f aca="false">IF(AND(Tasks[[#This Row],[_IsLeaf]]=1,N(Tasks[[#This Row],[Actual Start]])=0,Tasks[[#This Row],[_ShownFcstStart]]&gt;=StatusDate,Tasks[[#This Row],[_ShownFcstStart]]&lt;=LookaheadEnd),Tasks[[#This Row],[_ShownFcstStart]]+Tasks[[#This Row],[_Row]]/100000,"")</f>
        <v/>
      </c>
      <c r="GG42" s="42" t="str">
        <f aca="false">IF(AND(Tasks[[#This Row],[_IsLeaf]]=1,Tasks[[#This Row],[_LeafProgress]]&lt;1,Tasks[[#This Row],[_ShownFcstFinish]]&gt;=StatusDate,Tasks[[#This Row],[_ShownFcstFinish]]&lt;=LookaheadEnd),Tasks[[#This Row],[_ShownFcstFinish]]+Tasks[[#This Row],[_Row]]/100000,"")</f>
        <v/>
      </c>
      <c r="GH42" s="42" t="str">
        <f aca="false">IF(Tasks[[#This Row],[_LeafCritical]],Tasks[[#This Row],[_ShownFcstStart]]+Tasks[[#This Row],[_Row]]/100000,"")</f>
        <v/>
      </c>
      <c r="GI42" s="42" t="n">
        <f aca="false">Tasks[[#This Row],[_LeafWork]]*Tasks[[#This Row],[_LeafProgress]]</f>
        <v>0</v>
      </c>
      <c r="GJ42" s="89" t="str">
        <f aca="false">IF(AND(Tasks[[#This Row],[_IsLeaf]]=1,Tasks[[#This Row],[_LeafProgress]]&gt;=1),IF(N(Tasks[[#This Row],[Actual Finish]])&gt;0,Tasks[[#This Row],[Actual Finish]],Tasks[[#This Row],[_ShownFcstFinish]]),"")</f>
        <v/>
      </c>
      <c r="GK42" s="42" t="n">
        <f aca="false">IF(Tasks[[#This Row],[_IsLeaf]]=1,N(Tasks[[#This Row],[Story Points]]),0)</f>
        <v>0</v>
      </c>
      <c r="GL42" s="42" t="str">
        <f aca="false">""</f>
        <v/>
      </c>
      <c r="GM42" s="88" t="b">
        <f aca="false">IF(Tasks[[#This Row],[Task Name]]="",FALSE(),AND(Tasks[[#This Row],[_IsLeaf]]=1,N(Tasks[[#This Row],[_Days]])=0))</f>
        <v>0</v>
      </c>
      <c r="GN42" s="89" t="n">
        <f aca="false">IF(Tasks[[#This Row],[Task Name]]="",0,IF(AND(Tasks[[#This Row],[_IsLeaf]]=1,NOT(Tasks[[#This Row],[_IsMilestone]]),N(Tasks[[#This Row],[Progress]])&gt;0),Tasks[[#This Row],[Start]],0))</f>
        <v>0</v>
      </c>
      <c r="GO42" s="89" t="n">
        <f aca="false">IF(Tasks[[#This Row],[_DoneFrom]]=0,0,IF(Tasks[[#This Row],[Progress]]&gt;=1,Tasks[[#This Row],[Finish]],MAX(Tasks[[#This Row],[_DoneFrom]],Tasks[[#This Row],[Start]]+ROUND((Tasks[[#This Row],[Finish]]-Tasks[[#This Row],[Start]]+1)*Tasks[[#This Row],[Progress]],0)-1)))</f>
        <v>0</v>
      </c>
      <c r="GP42" s="89" t="n">
        <f aca="false">IF(Tasks[[#This Row],[Task Name]]="",0,IF(OR(NOT(Tasks[[#This Row],[_IsLeaf]]=1),Tasks[[#This Row],[_IsMilestone]],N(Tasks[[#This Row],[Progress]])&gt;=1),0,IF(Tasks[[#This Row],[_DoneTo]]&gt;0,Tasks[[#This Row],[_DoneTo]]+1,Tasks[[#This Row],[Start]])))</f>
        <v>0</v>
      </c>
      <c r="GQ42" s="89" t="n">
        <f aca="false">IF(Tasks[[#This Row],[_RemFrom]]=0,0,Tasks[[#This Row],[Finish]])</f>
        <v>0</v>
      </c>
      <c r="GR42" s="88" t="b">
        <f aca="false">IF(Tasks[[#This Row],[Task Name]]="",FALSE(),OR(NOT(BaselineSet),N(Tasks[[#This Row],[Baseline Start]])&gt;0))</f>
        <v>0</v>
      </c>
      <c r="GS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2" s="90" t="str">
        <f aca="false">IF(Tasks[[#This Row],[_IsLeaf]]=1,Tasks[[#This Row],[_Row]],"")</f>
        <v/>
      </c>
      <c r="GW42" s="90" t="str">
        <f aca="false">IFERROR(INDEX(Tasks[UID],SMALL(Tasks[_PickKey],Tasks[[#This Row],[_Row]]))&amp;" "&amp;INDEX(Tasks[Task Name],SMALL(Tasks[_PickKey],Tasks[[#This Row],[_Row]])),"")</f>
        <v/>
      </c>
      <c r="GX42" s="42" t="str">
        <f aca="false">IF(Tasks[[#This Row],[Task Name]]="","",IF(Tasks[[#This Row],[_IsSummary]],NETWORKDAYS.INTL(Tasks[[#This Row],[Start]],Tasks[[#This Row],[Finish]],WorkWeek,Holidays),N(Tasks[[#This Row],[_Days]])))</f>
        <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3"/>
      <c r="U43" s="23"/>
      <c r="V43" s="83"/>
      <c r="W43" s="23"/>
      <c r="X43" s="83"/>
      <c r="Y43" s="23"/>
      <c r="Z43" s="83"/>
      <c r="AA43" s="23"/>
      <c r="AB43" s="23"/>
      <c r="AC43" s="7"/>
      <c r="AD43" s="7"/>
      <c r="AE43" s="62" t="str">
        <f aca="false">IF(Tasks[[#This Row],[Task Name]]="","",IF(Tasks[[#This Row],[_IsSummary]],MIN(INDEX(Tasks[_ShownFcstStart],Tasks[[#This Row],[_Row]]+1):INDEX(Tasks[_ShownFcstStart],Tasks[[#This Row],[_Row]]+Tasks[[#This Row],[_Descendants]])),Tasks[[#This Row],[_ShownFcstStart]]))</f>
        <v/>
      </c>
      <c r="AF43" s="62"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3" s="7"/>
      <c r="AK43" s="22"/>
      <c r="AL43" s="23"/>
      <c r="AM43" s="7"/>
      <c r="AN43" s="46"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2" t="str">
        <f aca="false">IF(Tasks[[#This Row],[Task Name]]="","",IF(N(Tasks[[#This Row],[Baseline Start]])&gt;0,Tasks[[#This Row],[Baseline Start]],Tasks[[#This Row],[_CalcStart]]))</f>
        <v/>
      </c>
      <c r="AR43" s="62" t="str">
        <f aca="false">IF(Tasks[[#This Row],[Task Name]]="","",IF(N(Tasks[[#This Row],[Baseline Finish]])&gt;0,Tasks[[#This Row],[Baseline Finish]],Tasks[[#This Row],[_CalcFinish]]))</f>
        <v/>
      </c>
      <c r="AS43" s="46" t="str">
        <f aca="false">IF(Tasks[[#This Row],[Task Name]]="","",IF(Tasks[[#This Row],[Start]]&gt;=Tasks[[#This Row],[Planned Start]],NETWORKDAYS.INTL(Tasks[[#This Row],[Planned Start]],Tasks[[#This Row],[Start]],WorkWeek,Holidays)-1,1-NETWORKDAYS.INTL(Tasks[[#This Row],[Start]],Tasks[[#This Row],[Planned Start]],WorkWeek,Holidays)))</f>
        <v/>
      </c>
      <c r="AT43" s="62" t="str">
        <f aca="false">IF(Tasks[[#This Row],[Task Name]]="","",IF(Tasks[[#This Row],[_IsSummary]],MIN(INDEX(Tasks[_LeafLateStart],Tasks[[#This Row],[_Row]]+1):INDEX(Tasks[_LeafLateStart],Tasks[[#This Row],[_Row]]+Tasks[[#This Row],[_Descendants]])),Tasks[[#This Row],[_LeafLateStart]]))</f>
        <v/>
      </c>
      <c r="AU43" s="62" t="str">
        <f aca="false">IF(Tasks[[#This Row],[Task Name]]="","",IF(Tasks[[#This Row],[_IsSummary]],MAX(INDEX(Tasks[_LeafLateFinish],Tasks[[#This Row],[_Row]]+1):INDEX(Tasks[_LeafLateFinish],Tasks[[#This Row],[_Row]]+Tasks[[#This Row],[_Descendants]])),Tasks[[#This Row],[_LeafLateFinish]]))</f>
        <v/>
      </c>
      <c r="AV43" s="46"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4"/>
      <c r="BA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5"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6"/>
      <c r="BJ43" s="22"/>
      <c r="BK43" s="46" t="str">
        <f aca="false">IF(OR(Tasks[[#This Row],[Task Name]]="",Tasks[[#This Row],[Baseline Duration]]=""),"",Tasks[[#This Row],[_SpanDays]]-N(Tasks[[#This Row],[Baseline Duration]]))</f>
        <v/>
      </c>
      <c r="BL43" s="85" t="str">
        <f aca="false">IF(OR(Tasks[[#This Row],[Task Name]]="",Tasks[[#This Row],[Baseline Work]]=""),"",Tasks[[#This Row],[Work]]-N(Tasks[[#This Row],[Baseline Work]]))</f>
        <v/>
      </c>
      <c r="BM43" s="62" t="str">
        <f aca="false">IF(Tasks[[#This Row],[Task Name]]="","",IF(OR(TakeBaseline="Yes",N(Tasks[[#This Row],[Baseline Start]])=0),Tasks[[#This Row],[Start]],Tasks[[#This Row],[Baseline Start]]))</f>
        <v/>
      </c>
      <c r="BN43" s="62"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5" t="str">
        <f aca="false">IF(Tasks[[#This Row],[Task Name]]="","",IF(OR(TakeBaseline="Yes",N(Tasks[[#This Row],[Baseline Work]])=0),Tasks[[#This Row],[Work]],Tasks[[#This Row],[Baseline Work]]))</f>
        <v/>
      </c>
      <c r="BQ43" s="7"/>
      <c r="BR43" s="7"/>
      <c r="BS43" s="22"/>
      <c r="BT43" s="87"/>
      <c r="BU43" s="42" t="str">
        <f aca="false">IF(Tasks[[#This Row],[Task Name]]="","",MAX(1,N(Tasks[[#This Row],[Level]])))</f>
        <v/>
      </c>
      <c r="BV43" s="42" t="n">
        <f aca="false">ROW()-ROW(Tasks[[#Headers],[ID]])</f>
        <v>38</v>
      </c>
      <c r="BW43" s="42" t="n">
        <f aca="false">IF(OR(Tasks[[#This Row],[Task Name]]="",Tasks[[#This Row],[_Level]]&lt;=1),0,IFERROR(LOOKUP(2,1/(Tasks[[#Headers],[_Level]]:Tasks[[#This Row],[_Level]]=Tasks[[#This Row],[_Level]]-1),ROW(Tasks[[#Headers],[_Level]]:Tasks[[#This Row],[_Level]])),0))</f>
        <v>0</v>
      </c>
      <c r="BX43" s="42" t="n">
        <f aca="false">IFERROR(N(INDEX(Tasks[_Level],Tasks[[#This Row],[_Row]]+1)),0)</f>
        <v>0</v>
      </c>
      <c r="BY43" s="88" t="b">
        <f aca="false">AND(Tasks[[#This Row],[Task Name]]&lt;&gt;"",Tasks[[#This Row],[_NextLevel]]&gt;Tasks[[#This Row],[_Level]])</f>
        <v>0</v>
      </c>
      <c r="BZ43" s="42" t="n">
        <f aca="false">IF(Tasks[[#This Row],[_IsSummary]],COUNTIF(Tasks[WBS],Tasks[[#This Row],[WBS]]&amp;".*"),0)</f>
        <v>0</v>
      </c>
      <c r="CA43" s="42" t="n">
        <f aca="false">IF(AND(Tasks[[#This Row],[Task Name]]&lt;&gt;"",NOT(Tasks[[#This Row],[_IsSummary]])),1,0)</f>
        <v>0</v>
      </c>
      <c r="CB43" s="42" t="n">
        <f aca="false">IF(N(Tasks[[#This Row],[_Pred1UID]])=0,0,IFERROR(MATCH(Tasks[[#This Row],[_Pred1UID]],Tasks[UID],0),-1))</f>
        <v>0</v>
      </c>
      <c r="CC43" s="42" t="n">
        <f aca="false">IF(N(Tasks[[#This Row],[_Pred2UID]])=0,0,IFERROR(MATCH(Tasks[[#This Row],[_Pred2UID]],Tasks[UID],0),-1))</f>
        <v>0</v>
      </c>
      <c r="CD43" s="42" t="n">
        <f aca="false">IF(N(Tasks[[#This Row],[_Pred3UID]])=0,0,IFERROR(MATCH(Tasks[[#This Row],[_Pred3UID]],Tasks[UID],0),-1))</f>
        <v>0</v>
      </c>
      <c r="CE43" s="42" t="n">
        <f aca="false">IF(N(Tasks[[#This Row],[_Pred4UID]])=0,0,IFERROR(MATCH(Tasks[[#This Row],[_Pred4UID]],Tasks[UID],0),-1))</f>
        <v>0</v>
      </c>
      <c r="CF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3" s="89" t="n">
        <f aca="false">IF(OR(Tasks[[#This Row],[_ConstraintCode]]=2,Tasks[[#This Row],[_ConstraintCode]]=3,Tasks[[#This Row],[_ConstraintCode]]=4,Tasks[[#This Row],[_ConstraintCode]]=6),Tasks[[#This Row],[_ConstraintStart]],0)</f>
        <v>0</v>
      </c>
      <c r="CI43" s="89" t="n">
        <f aca="false">IF(OR(Tasks[[#This Row],[_ConstraintCode]]=2,Tasks[[#This Row],[_ConstraintCode]]=3,Tasks[[#This Row],[_ConstraintCode]]=5,Tasks[[#This Row],[_ConstraintCode]]=7),Tasks[[#This Row],[_ConstraintStart]],2958465)</f>
        <v>2958465</v>
      </c>
      <c r="CJ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3" s="89" t="str">
        <f aca="false">IF(NOT(Tasks[[#This Row],[_IsLeaf]]=1),"",IF(N(Tasks[[#This Row],[_Days]])&lt;=0,Tasks[[#This Row],[_LeafCalcStart]],WORKDAY.INTL(Tasks[[#This Row],[_LeafCalcStart]],Tasks[[#This Row],[_Days]]-1,WorkWeek,Holidays)))</f>
        <v/>
      </c>
      <c r="CL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3" s="42" t="str">
        <f aca="false">IF(Tasks[[#This Row],[_Predecessors]]="","",TRIM(MID(SUBSTITUTE(SUBSTITUTE(SUBSTITUTE(UPPER(Tasks[[#This Row],[_Predecessors]]),";",",")," ",""),",",REPT(" ",99)),1,99)))</f>
        <v/>
      </c>
      <c r="CO43" s="42" t="str">
        <f aca="false">IF(Tasks[[#This Row],[_Pred1Text]]="","",IFERROR(VALUE(LEFT(Tasks[[#This Row],[_Pred1Text]],MIN(FIND("F",Tasks[[#This Row],[_Pred1Text]]&amp;"F"),FIND("S",Tasks[[#This Row],[_Pred1Text]]&amp;"S"),FIND("+",Tasks[[#This Row],[_Pred1Text]]&amp;"+"),FIND("-",Tasks[[#This Row],[_Pred1Text]]&amp;"-"))-1)),""))</f>
        <v/>
      </c>
      <c r="CP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3" s="42" t="str">
        <f aca="false">IF(Tasks[[#This Row],[_Pred1Text]]="","",TRIM(MID(SUBSTITUTE(SUBSTITUTE(SUBSTITUTE(UPPER(Tasks[[#This Row],[_Predecessors]]),";",",")," ",""),",",REPT(" ",99)),100,99)))</f>
        <v/>
      </c>
      <c r="CS43" s="42" t="str">
        <f aca="false">IF(Tasks[[#This Row],[_Pred2Text]]="","",IFERROR(VALUE(LEFT(Tasks[[#This Row],[_Pred2Text]],MIN(FIND("F",Tasks[[#This Row],[_Pred2Text]]&amp;"F"),FIND("S",Tasks[[#This Row],[_Pred2Text]]&amp;"S"),FIND("+",Tasks[[#This Row],[_Pred2Text]]&amp;"+"),FIND("-",Tasks[[#This Row],[_Pred2Text]]&amp;"-"))-1)),""))</f>
        <v/>
      </c>
      <c r="CT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3" s="42" t="str">
        <f aca="false">IF(Tasks[[#This Row],[_Pred2Text]]="","",TRIM(MID(SUBSTITUTE(SUBSTITUTE(SUBSTITUTE(UPPER(Tasks[[#This Row],[_Predecessors]]),";",",")," ",""),",",REPT(" ",99)),199,99)))</f>
        <v/>
      </c>
      <c r="CW43" s="42" t="str">
        <f aca="false">IF(Tasks[[#This Row],[_Pred3Text]]="","",IFERROR(VALUE(LEFT(Tasks[[#This Row],[_Pred3Text]],MIN(FIND("F",Tasks[[#This Row],[_Pred3Text]]&amp;"F"),FIND("S",Tasks[[#This Row],[_Pred3Text]]&amp;"S"),FIND("+",Tasks[[#This Row],[_Pred3Text]]&amp;"+"),FIND("-",Tasks[[#This Row],[_Pred3Text]]&amp;"-"))-1)),""))</f>
        <v/>
      </c>
      <c r="CX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3" s="42" t="str">
        <f aca="false">IF(Tasks[[#This Row],[_Pred3Text]]="","",TRIM(MID(SUBSTITUTE(SUBSTITUTE(SUBSTITUTE(UPPER(Tasks[[#This Row],[_Predecessors]]),";",",")," ",""),",",REPT(" ",99)),298,99)))</f>
        <v/>
      </c>
      <c r="DA43" s="42" t="str">
        <f aca="false">IF(Tasks[[#This Row],[_Pred4Text]]="","",IFERROR(VALUE(LEFT(Tasks[[#This Row],[_Pred4Text]],MIN(FIND("F",Tasks[[#This Row],[_Pred4Text]]&amp;"F"),FIND("S",Tasks[[#This Row],[_Pred4Text]]&amp;"S"),FIND("+",Tasks[[#This Row],[_Pred4Text]]&amp;"+"),FIND("-",Tasks[[#This Row],[_Pred4Text]]&amp;"-"))-1)),""))</f>
        <v/>
      </c>
      <c r="DB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3" s="42" t="str">
        <f aca="false">IF(OR(Tasks[[#This Row],[Task Name]]="",Tasks[[#This Row],[_Resources]]=""),"",TRIM(MID(SUBSTITUTE(Tasks[[#This Row],[_Resources]],",",REPT(" ",99)),1,99)))</f>
        <v/>
      </c>
      <c r="DE43" s="42" t="str">
        <f aca="false">IF(Tasks[[#This Row],[_Res1Text]]="","",TRIM(MID(SUBSTITUTE(Tasks[[#This Row],[_Resources]],",",REPT(" ",99)),100,99)))</f>
        <v/>
      </c>
      <c r="DF43" s="42" t="str">
        <f aca="false">IF(Tasks[[#This Row],[_Res2Text]]="","",TRIM(MID(SUBSTITUTE(Tasks[[#This Row],[_Resources]],",",REPT(" ",99)),199,99)))</f>
        <v/>
      </c>
      <c r="DG43" s="42" t="str">
        <f aca="false">IF(Tasks[[#This Row],[_Res3Text]]="","",TRIM(MID(SUBSTITUTE(Tasks[[#This Row],[_Resources]],",",REPT(" ",99)),298,99)))</f>
        <v/>
      </c>
      <c r="DH43" s="42" t="n">
        <f aca="false">IF(Tasks[[#This Row],[_Res1Text]]="",0,IFERROR(MATCH(TRIM(LEFT(Tasks[[#This Row],[_Res1Text]],FIND("[",Tasks[[#This Row],[_Res1Text]]&amp;"[")-1)),res_Name,0),IFERROR(MATCH(TRIM(LEFT(Tasks[[#This Row],[_Res1Text]],FIND("[",Tasks[[#This Row],[_Res1Text]]&amp;"[")-1)),res_Initials,0),0)))</f>
        <v>0</v>
      </c>
      <c r="DI43" s="42" t="n">
        <f aca="false">IF(Tasks[[#This Row],[_Res2Text]]="",0,IFERROR(MATCH(TRIM(LEFT(Tasks[[#This Row],[_Res2Text]],FIND("[",Tasks[[#This Row],[_Res2Text]]&amp;"[")-1)),res_Name,0),IFERROR(MATCH(TRIM(LEFT(Tasks[[#This Row],[_Res2Text]],FIND("[",Tasks[[#This Row],[_Res2Text]]&amp;"[")-1)),res_Initials,0),0)))</f>
        <v>0</v>
      </c>
      <c r="DJ43" s="42" t="n">
        <f aca="false">IF(Tasks[[#This Row],[_Res3Text]]="",0,IFERROR(MATCH(TRIM(LEFT(Tasks[[#This Row],[_Res3Text]],FIND("[",Tasks[[#This Row],[_Res3Text]]&amp;"[")-1)),res_Name,0),IFERROR(MATCH(TRIM(LEFT(Tasks[[#This Row],[_Res3Text]],FIND("[",Tasks[[#This Row],[_Res3Text]]&amp;"[")-1)),res_Initials,0),0)))</f>
        <v>0</v>
      </c>
      <c r="DK43" s="42" t="n">
        <f aca="false">IF(Tasks[[#This Row],[_Res4Text]]="",0,IFERROR(MATCH(TRIM(LEFT(Tasks[[#This Row],[_Res4Text]],FIND("[",Tasks[[#This Row],[_Res4Text]]&amp;"[")-1)),res_Name,0),IFERROR(MATCH(TRIM(LEFT(Tasks[[#This Row],[_Res4Text]],FIND("[",Tasks[[#This Row],[_Res4Text]]&amp;"[")-1)),res_Initials,0),0)))</f>
        <v>0</v>
      </c>
      <c r="DL43" s="42" t="str">
        <f aca="false">IF(Tasks[[#This Row],[_Res1Text]]="","",IF(Tasks[[#This Row],[_Res1Row]]&gt;0,INDEX(res_Name,Tasks[[#This Row],[_Res1Row]]),TRIM(LEFT(Tasks[[#This Row],[_Res1Text]],FIND("[",Tasks[[#This Row],[_Res1Text]]&amp;"[")-1))))</f>
        <v/>
      </c>
      <c r="DM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3" s="42" t="n">
        <f aca="false">IF(NOT(Tasks[[#This Row],[_IsLeaf]]=1),0,(Tasks[[#This Row],[_Resource1]]&lt;&gt;"")+(Tasks[[#This Row],[_Res2]]&lt;&gt;"")+(Tasks[[#This Row],[_Res3]]&lt;&gt;"")+(Tasks[[#This Row],[_Res4]]&lt;&gt;""))</f>
        <v>0</v>
      </c>
      <c r="DO43" s="42" t="str">
        <f aca="false">IF(Tasks[[#This Row],[_Res2Text]]="","",IF(Tasks[[#This Row],[_Res2Row]]&gt;0,INDEX(res_Name,Tasks[[#This Row],[_Res2Row]]),TRIM(LEFT(Tasks[[#This Row],[_Res2Text]],FIND("[",Tasks[[#This Row],[_Res2Text]]&amp;"[")-1))))</f>
        <v/>
      </c>
      <c r="DP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3" s="42" t="n">
        <f aca="false">IF(OR(NOT(Tasks[[#This Row],[_IsLeaf]]=1),Tasks[[#This Row],[_Res2Row]]=0),0,N(Tasks[[#This Row],[_Days]])*HoursPerDay*IF(Tasks[[#This Row],[_Res2Units]]="",DefaultUnits,Tasks[[#This Row],[_Res2Units]]))</f>
        <v>0</v>
      </c>
      <c r="DR43" s="42" t="n">
        <f aca="false">IF(AND(AND(Tasks[[#This Row],[_IsLeaf]]=1,Tasks[[#This Row],[_LeafTotalWork]]&gt;0),Tasks[[#This Row],[_Res2Work]]&gt;0),Tasks[[#This Row],[_Res2Work]]/(Tasks[[#This Row],[_FinishWorkday]]-Tasks[[#This Row],[_StartWorkday]]+1),0)</f>
        <v>0</v>
      </c>
      <c r="DS43" s="42" t="n">
        <f aca="false">Tasks[[#This Row],[_Res2WorkPerWD]]*MAX(0,Tasks[[#This Row],[_StartWorkday]]-1)</f>
        <v>0</v>
      </c>
      <c r="DT43" s="42" t="n">
        <f aca="false">Tasks[[#This Row],[_Res2Work]]*Tasks[[#This Row],[_LeafProgress]]</f>
        <v>0</v>
      </c>
      <c r="DU43" s="42" t="str">
        <f aca="false">IF(Tasks[[#This Row],[_Res3Text]]="","",IF(Tasks[[#This Row],[_Res3Row]]&gt;0,INDEX(res_Name,Tasks[[#This Row],[_Res3Row]]),TRIM(LEFT(Tasks[[#This Row],[_Res3Text]],FIND("[",Tasks[[#This Row],[_Res3Text]]&amp;"[")-1))))</f>
        <v/>
      </c>
      <c r="DV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3" s="42" t="n">
        <f aca="false">IF(OR(NOT(Tasks[[#This Row],[_IsLeaf]]=1),Tasks[[#This Row],[_Res3Row]]=0),0,N(Tasks[[#This Row],[_Days]])*HoursPerDay*IF(Tasks[[#This Row],[_Res3Units]]="",DefaultUnits,Tasks[[#This Row],[_Res3Units]]))</f>
        <v>0</v>
      </c>
      <c r="DX43" s="42" t="n">
        <f aca="false">IF(AND(AND(Tasks[[#This Row],[_IsLeaf]]=1,Tasks[[#This Row],[_LeafTotalWork]]&gt;0),Tasks[[#This Row],[_Res3Work]]&gt;0),Tasks[[#This Row],[_Res3Work]]/(Tasks[[#This Row],[_FinishWorkday]]-Tasks[[#This Row],[_StartWorkday]]+1),0)</f>
        <v>0</v>
      </c>
      <c r="DY43" s="42" t="n">
        <f aca="false">Tasks[[#This Row],[_Res3WorkPerWD]]*MAX(0,Tasks[[#This Row],[_StartWorkday]]-1)</f>
        <v>0</v>
      </c>
      <c r="DZ43" s="42" t="n">
        <f aca="false">Tasks[[#This Row],[_Res3Work]]*Tasks[[#This Row],[_LeafProgress]]</f>
        <v>0</v>
      </c>
      <c r="EA43" s="42" t="str">
        <f aca="false">IF(Tasks[[#This Row],[_Res4Text]]="","",IF(Tasks[[#This Row],[_Res4Row]]&gt;0,INDEX(res_Name,Tasks[[#This Row],[_Res4Row]]),TRIM(LEFT(Tasks[[#This Row],[_Res4Text]],FIND("[",Tasks[[#This Row],[_Res4Text]]&amp;"[")-1))))</f>
        <v/>
      </c>
      <c r="EB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3" s="42" t="n">
        <f aca="false">IF(OR(NOT(Tasks[[#This Row],[_IsLeaf]]=1),Tasks[[#This Row],[_Res4Row]]=0),0,N(Tasks[[#This Row],[_Days]])*HoursPerDay*IF(Tasks[[#This Row],[_Res4Units]]="",DefaultUnits,Tasks[[#This Row],[_Res4Units]]))</f>
        <v>0</v>
      </c>
      <c r="ED43" s="42" t="n">
        <f aca="false">IF(AND(AND(Tasks[[#This Row],[_IsLeaf]]=1,Tasks[[#This Row],[_LeafTotalWork]]&gt;0),Tasks[[#This Row],[_Res4Work]]&gt;0),Tasks[[#This Row],[_Res4Work]]/(Tasks[[#This Row],[_FinishWorkday]]-Tasks[[#This Row],[_StartWorkday]]+1),0)</f>
        <v>0</v>
      </c>
      <c r="EE43" s="42" t="n">
        <f aca="false">Tasks[[#This Row],[_Res4WorkPerWD]]*MAX(0,Tasks[[#This Row],[_StartWorkday]]-1)</f>
        <v>0</v>
      </c>
      <c r="EF43" s="42" t="n">
        <f aca="false">Tasks[[#This Row],[_Res4Work]]*Tasks[[#This Row],[_LeafProgress]]</f>
        <v>0</v>
      </c>
      <c r="EG43" s="42" t="n">
        <f aca="false">IF(ISNUMBER(Tasks[[#This Row],[% Complete]]),Tasks[[#This Row],[% Complete]],IF(Tasks[[#This Row],[Stage]]="",0,IFERROR(INDEX(stg_Pct,MATCH(Tasks[[#This Row],[Stage]],stg_Name,0)),0)))</f>
        <v>0</v>
      </c>
      <c r="EH43" s="42" t="n">
        <f aca="false">IF(NOT(Tasks[[#This Row],[_IsLeaf]]=1),0,IF(N(Tasks[[#This Row],[Actual Finish]])&gt;0,1,MIN(1,Tasks[[#This Row],[_Pct]])))</f>
        <v>0</v>
      </c>
      <c r="EI43" s="42" t="n">
        <f aca="false">IF(OR(NOT(Tasks[[#This Row],[_IsLeaf]]=1),Tasks[[#This Row],[_Res1Row]]=0),0,N(Tasks[[#This Row],[_Days]])*HoursPerDay*IF(Tasks[[#This Row],[_Units1]]="",DefaultUnits,Tasks[[#This Row],[_Units1]]))</f>
        <v>0</v>
      </c>
      <c r="EJ43" s="42" t="n">
        <f aca="false">Tasks[[#This Row],[_LeafWork]]+Tasks[[#This Row],[_Res2Work]]+Tasks[[#This Row],[_Res3Work]]+Tasks[[#This Row],[_Res4Work]]</f>
        <v>0</v>
      </c>
      <c r="EK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3" s="42" t="n">
        <f aca="false">IF(NOT(Tasks[[#This Row],[_IsLeaf]]=1),0,MAX(_xlfn.MAXIFS(Tasks[_Row],Tasks[_Pred1UID],Tasks[[#This Row],[UID]]),_xlfn.MAXIFS(Tasks[_Row],Tasks[_Pred2UID],Tasks[[#This Row],[UID]]),_xlfn.MAXIFS(Tasks[_Row],Tasks[_Pred3UID],Tasks[[#This Row],[UID]]),_xlfn.MAXIFS(Tasks[_Row],Tasks[_Pred4UID],Tasks[[#This Row],[UID]])))</f>
        <v>0</v>
      </c>
      <c r="ET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3" s="89" t="str">
        <f aca="false">IF(NOT(Tasks[[#This Row],[_IsLeaf]]=1),"",IF(N(Tasks[[#This Row],[_Days]])&lt;=0,Tasks[[#This Row],[_LeafLateFinish]],WORKDAY.INTL(Tasks[[#This Row],[_LeafLateFinish]],-(Tasks[[#This Row],[_Days]]-1),WorkWeek,Holidays)))</f>
        <v/>
      </c>
      <c r="EW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3" s="88" t="b">
        <f aca="false">AND(Tasks[[#This Row],[_IsLeaf]]=1,Tasks[[#This Row],[_LeafProgress]]&lt;1,N(Tasks[[#This Row],[_LeafTotalSlack]])&lt;=CriticalSlackDays)</f>
        <v>0</v>
      </c>
      <c r="EY43" s="42" t="n">
        <f aca="false">IF(AND(Tasks[[#This Row],[_IsLeaf]]=1,Tasks[[#This Row],[_ConstraintCode]]=1,Tasks[[#This Row],[Mode]]&lt;&gt;"Manual",N(Tasks[[#This Row],[Actual Start]])=0),MAX(0,N(Tasks[[#This Row],[Free Slack]])),0)</f>
        <v>0</v>
      </c>
      <c r="EZ43" s="89" t="str">
        <f aca="false">IF(NOT(Tasks[[#This Row],[_IsLeaf]]=1),"",IF(Tasks[[#This Row],[_AlapShift]]=0,Tasks[[#This Row],[_LeafCalcStart]],WORKDAY.INTL(Tasks[[#This Row],[_LeafCalcStart]],Tasks[[#This Row],[_AlapShift]],WorkWeek,Holidays)))</f>
        <v/>
      </c>
      <c r="FA43" s="89" t="str">
        <f aca="false">IF(NOT(Tasks[[#This Row],[_IsLeaf]]=1),"",IF(Tasks[[#This Row],[_AlapShift]]=0,Tasks[[#This Row],[_LeafCalcFinish]],WORKDAY.INTL(Tasks[[#This Row],[_LeafCalcFinish]],Tasks[[#This Row],[_AlapShift]],WorkWeek,Holidays)))</f>
        <v/>
      </c>
      <c r="FB43" s="89" t="str">
        <f aca="false">IF(NOT(Tasks[[#This Row],[_IsLeaf]]=1),"",IF(Tasks[[#This Row],[_AlapShift]]=0,Tasks[[#This Row],[_LeafFcstStart]],WORKDAY.INTL(Tasks[[#This Row],[_LeafFcstStart]],Tasks[[#This Row],[_AlapShift]],WorkWeek,Holidays)))</f>
        <v/>
      </c>
      <c r="FC43" s="89" t="str">
        <f aca="false">IF(NOT(Tasks[[#This Row],[_IsLeaf]]=1),"",IF(Tasks[[#This Row],[_AlapShift]]=0,Tasks[[#This Row],[_LeafFcstFinish]],WORKDAY.INTL(Tasks[[#This Row],[_LeafFcstFinish]],Tasks[[#This Row],[_AlapShift]],WorkWeek,Holidays)))</f>
        <v/>
      </c>
      <c r="FD43" s="89" t="str">
        <f aca="false">IF(Tasks[[#This Row],[Task Name]]="","",IF(Tasks[[#This Row],[_IsSummary]],MIN(INDEX(Tasks[_ShownCalcStart],Tasks[[#This Row],[_Row]]+1):INDEX(Tasks[_ShownCalcStart],Tasks[[#This Row],[_Row]]+Tasks[[#This Row],[_Descendants]])),Tasks[[#This Row],[_ShownCalcStart]]))</f>
        <v/>
      </c>
      <c r="FE43" s="89" t="str">
        <f aca="false">IF(Tasks[[#This Row],[Task Name]]="","",IF(Tasks[[#This Row],[_IsSummary]],MAX(INDEX(Tasks[_ShownCalcFinish],Tasks[[#This Row],[_Row]]+1):INDEX(Tasks[_ShownCalcFinish],Tasks[[#This Row],[_Row]]+Tasks[[#This Row],[_Descendants]])),Tasks[[#This Row],[_ShownCalcFinish]]))</f>
        <v/>
      </c>
      <c r="FF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3" s="42" t="n">
        <f aca="false">IF(AND(Tasks[[#This Row],[_IsLeaf]]=1,Tasks[[#This Row],[_LeafTotalWork]]&gt;0),NETWORKDAYS.INTL(ProjectStart,Tasks[[#This Row],[_ShownFcstStart]],WorkWeek,Holidays),0)</f>
        <v>0</v>
      </c>
      <c r="FS43" s="42" t="n">
        <f aca="false">IF(AND(Tasks[[#This Row],[_IsLeaf]]=1,Tasks[[#This Row],[_LeafTotalWork]]&gt;0),MAX(Tasks[[#This Row],[_StartWorkday]],NETWORKDAYS.INTL(ProjectStart,Tasks[[#This Row],[_ShownFcstFinish]],WorkWeek,Holidays)),0)</f>
        <v>0</v>
      </c>
      <c r="FT43" s="42" t="n">
        <f aca="false">IF(AND(Tasks[[#This Row],[_IsLeaf]]=1,Tasks[[#This Row],[_LeafTotalWork]]&gt;0),Tasks[[#This Row],[_LeafWork]]/(Tasks[[#This Row],[_FinishWorkday]]-Tasks[[#This Row],[_StartWorkday]]+1),0)</f>
        <v>0</v>
      </c>
      <c r="FU43" s="42" t="n">
        <f aca="false">Tasks[[#This Row],[_WorkPerWorkday]]*(Tasks[[#This Row],[_StartWorkday]]-1)</f>
        <v>-0</v>
      </c>
      <c r="FV43" s="42" t="n">
        <f aca="false">IF(Tasks[[#This Row],[_IsLeaf]]=1,MAX(N(Tasks[[#This Row],[_Days]]),0.1),0)</f>
        <v>0</v>
      </c>
      <c r="FW43" s="42" t="n">
        <f aca="false">Tasks[[#This Row],[_WeightDur]]*Tasks[[#This Row],[_LeafProgress]]</f>
        <v>0</v>
      </c>
      <c r="FX43" s="42" t="n">
        <f aca="false">Tasks[[#This Row],[_WeightDur]]*Tasks[[#This Row],[_PlannedPct]]</f>
        <v>0</v>
      </c>
      <c r="FY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3" s="42" t="str">
        <f aca="false">IF(AND(Tasks[[#This Row],[_IsLeaf]]=1,N(Tasks[[#This Row],[_Days]])=0,Tasks[[#This Row],[_LeafProgress]]&lt;1),Tasks[[#This Row],[_ShownFcstFinish]]+Tasks[[#This Row],[_Row]]/100000,"")</f>
        <v/>
      </c>
      <c r="GA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3" s="42" t="str">
        <f aca="false">IF(Tasks[[#This Row],[Task Name]]="","",LEFT(Tasks[[#This Row],[WBS]],FIND(".",Tasks[[#This Row],[WBS]]&amp;".")-1))</f>
        <v/>
      </c>
      <c r="GC43" s="42" t="str">
        <f aca="false">IF(AND(Tasks[[#This Row],[Task Name]]&lt;&gt;"",Tasks[[#This Row],[_Level]]=1),Tasks[[#This Row],[_Row]],"")</f>
        <v/>
      </c>
      <c r="GD43" s="42" t="str">
        <f aca="false">IF(AND(Tasks[[#This Row],[_IsLeaf]]=1,N(Tasks[[#This Row],[_Days]])=0),Tasks[[#This Row],[Planned Finish]]+Tasks[[#This Row],[_Row]]/100000,"")</f>
        <v/>
      </c>
      <c r="GE43" s="42" t="str">
        <f aca="false">IF(AND(Tasks[[#This Row],[_IsLeaf]]=1,Tasks[[#This Row],[_LeafProgress]]&lt;1,OR(N(Tasks[[#This Row],[Finish Var]])&gt;0,Tasks[[#This Row],[Status]]="Late Start")),MAX(0,Tasks[[#This Row],[Finish Var]])+1-Tasks[[#This Row],[_Row]]/1000000,"")</f>
        <v/>
      </c>
      <c r="GF43" s="42" t="str">
        <f aca="false">IF(AND(Tasks[[#This Row],[_IsLeaf]]=1,N(Tasks[[#This Row],[Actual Start]])=0,Tasks[[#This Row],[_ShownFcstStart]]&gt;=StatusDate,Tasks[[#This Row],[_ShownFcstStart]]&lt;=LookaheadEnd),Tasks[[#This Row],[_ShownFcstStart]]+Tasks[[#This Row],[_Row]]/100000,"")</f>
        <v/>
      </c>
      <c r="GG43" s="42" t="str">
        <f aca="false">IF(AND(Tasks[[#This Row],[_IsLeaf]]=1,Tasks[[#This Row],[_LeafProgress]]&lt;1,Tasks[[#This Row],[_ShownFcstFinish]]&gt;=StatusDate,Tasks[[#This Row],[_ShownFcstFinish]]&lt;=LookaheadEnd),Tasks[[#This Row],[_ShownFcstFinish]]+Tasks[[#This Row],[_Row]]/100000,"")</f>
        <v/>
      </c>
      <c r="GH43" s="42" t="str">
        <f aca="false">IF(Tasks[[#This Row],[_LeafCritical]],Tasks[[#This Row],[_ShownFcstStart]]+Tasks[[#This Row],[_Row]]/100000,"")</f>
        <v/>
      </c>
      <c r="GI43" s="42" t="n">
        <f aca="false">Tasks[[#This Row],[_LeafWork]]*Tasks[[#This Row],[_LeafProgress]]</f>
        <v>0</v>
      </c>
      <c r="GJ43" s="89" t="str">
        <f aca="false">IF(AND(Tasks[[#This Row],[_IsLeaf]]=1,Tasks[[#This Row],[_LeafProgress]]&gt;=1),IF(N(Tasks[[#This Row],[Actual Finish]])&gt;0,Tasks[[#This Row],[Actual Finish]],Tasks[[#This Row],[_ShownFcstFinish]]),"")</f>
        <v/>
      </c>
      <c r="GK43" s="42" t="n">
        <f aca="false">IF(Tasks[[#This Row],[_IsLeaf]]=1,N(Tasks[[#This Row],[Story Points]]),0)</f>
        <v>0</v>
      </c>
      <c r="GL43" s="42" t="str">
        <f aca="false">""</f>
        <v/>
      </c>
      <c r="GM43" s="88" t="b">
        <f aca="false">IF(Tasks[[#This Row],[Task Name]]="",FALSE(),AND(Tasks[[#This Row],[_IsLeaf]]=1,N(Tasks[[#This Row],[_Days]])=0))</f>
        <v>0</v>
      </c>
      <c r="GN43" s="89" t="n">
        <f aca="false">IF(Tasks[[#This Row],[Task Name]]="",0,IF(AND(Tasks[[#This Row],[_IsLeaf]]=1,NOT(Tasks[[#This Row],[_IsMilestone]]),N(Tasks[[#This Row],[Progress]])&gt;0),Tasks[[#This Row],[Start]],0))</f>
        <v>0</v>
      </c>
      <c r="GO43" s="89" t="n">
        <f aca="false">IF(Tasks[[#This Row],[_DoneFrom]]=0,0,IF(Tasks[[#This Row],[Progress]]&gt;=1,Tasks[[#This Row],[Finish]],MAX(Tasks[[#This Row],[_DoneFrom]],Tasks[[#This Row],[Start]]+ROUND((Tasks[[#This Row],[Finish]]-Tasks[[#This Row],[Start]]+1)*Tasks[[#This Row],[Progress]],0)-1)))</f>
        <v>0</v>
      </c>
      <c r="GP43" s="89" t="n">
        <f aca="false">IF(Tasks[[#This Row],[Task Name]]="",0,IF(OR(NOT(Tasks[[#This Row],[_IsLeaf]]=1),Tasks[[#This Row],[_IsMilestone]],N(Tasks[[#This Row],[Progress]])&gt;=1),0,IF(Tasks[[#This Row],[_DoneTo]]&gt;0,Tasks[[#This Row],[_DoneTo]]+1,Tasks[[#This Row],[Start]])))</f>
        <v>0</v>
      </c>
      <c r="GQ43" s="89" t="n">
        <f aca="false">IF(Tasks[[#This Row],[_RemFrom]]=0,0,Tasks[[#This Row],[Finish]])</f>
        <v>0</v>
      </c>
      <c r="GR43" s="88" t="b">
        <f aca="false">IF(Tasks[[#This Row],[Task Name]]="",FALSE(),OR(NOT(BaselineSet),N(Tasks[[#This Row],[Baseline Start]])&gt;0))</f>
        <v>0</v>
      </c>
      <c r="GS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3" s="90" t="str">
        <f aca="false">IF(Tasks[[#This Row],[_IsLeaf]]=1,Tasks[[#This Row],[_Row]],"")</f>
        <v/>
      </c>
      <c r="GW43" s="90" t="str">
        <f aca="false">IFERROR(INDEX(Tasks[UID],SMALL(Tasks[_PickKey],Tasks[[#This Row],[_Row]]))&amp;" "&amp;INDEX(Tasks[Task Name],SMALL(Tasks[_PickKey],Tasks[[#This Row],[_Row]])),"")</f>
        <v/>
      </c>
      <c r="GX43" s="42" t="str">
        <f aca="false">IF(Tasks[[#This Row],[Task Name]]="","",IF(Tasks[[#This Row],[_IsSummary]],NETWORKDAYS.INTL(Tasks[[#This Row],[Start]],Tasks[[#This Row],[Finish]],WorkWeek,Holidays),N(Tasks[[#This Row],[_Days]])))</f>
        <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3"/>
      <c r="U44" s="23"/>
      <c r="V44" s="83"/>
      <c r="W44" s="23"/>
      <c r="X44" s="83"/>
      <c r="Y44" s="23"/>
      <c r="Z44" s="83"/>
      <c r="AA44" s="23"/>
      <c r="AB44" s="23"/>
      <c r="AC44" s="7"/>
      <c r="AD44" s="7"/>
      <c r="AE44" s="62" t="str">
        <f aca="false">IF(Tasks[[#This Row],[Task Name]]="","",IF(Tasks[[#This Row],[_IsSummary]],MIN(INDEX(Tasks[_ShownFcstStart],Tasks[[#This Row],[_Row]]+1):INDEX(Tasks[_ShownFcstStart],Tasks[[#This Row],[_Row]]+Tasks[[#This Row],[_Descendants]])),Tasks[[#This Row],[_ShownFcstStart]]))</f>
        <v/>
      </c>
      <c r="AF44" s="62"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4" s="7"/>
      <c r="AK44" s="22"/>
      <c r="AL44" s="23"/>
      <c r="AM44" s="7"/>
      <c r="AN44" s="46"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2" t="str">
        <f aca="false">IF(Tasks[[#This Row],[Task Name]]="","",IF(N(Tasks[[#This Row],[Baseline Start]])&gt;0,Tasks[[#This Row],[Baseline Start]],Tasks[[#This Row],[_CalcStart]]))</f>
        <v/>
      </c>
      <c r="AR44" s="62" t="str">
        <f aca="false">IF(Tasks[[#This Row],[Task Name]]="","",IF(N(Tasks[[#This Row],[Baseline Finish]])&gt;0,Tasks[[#This Row],[Baseline Finish]],Tasks[[#This Row],[_CalcFinish]]))</f>
        <v/>
      </c>
      <c r="AS44" s="46" t="str">
        <f aca="false">IF(Tasks[[#This Row],[Task Name]]="","",IF(Tasks[[#This Row],[Start]]&gt;=Tasks[[#This Row],[Planned Start]],NETWORKDAYS.INTL(Tasks[[#This Row],[Planned Start]],Tasks[[#This Row],[Start]],WorkWeek,Holidays)-1,1-NETWORKDAYS.INTL(Tasks[[#This Row],[Start]],Tasks[[#This Row],[Planned Start]],WorkWeek,Holidays)))</f>
        <v/>
      </c>
      <c r="AT44" s="62" t="str">
        <f aca="false">IF(Tasks[[#This Row],[Task Name]]="","",IF(Tasks[[#This Row],[_IsSummary]],MIN(INDEX(Tasks[_LeafLateStart],Tasks[[#This Row],[_Row]]+1):INDEX(Tasks[_LeafLateStart],Tasks[[#This Row],[_Row]]+Tasks[[#This Row],[_Descendants]])),Tasks[[#This Row],[_LeafLateStart]]))</f>
        <v/>
      </c>
      <c r="AU44" s="62" t="str">
        <f aca="false">IF(Tasks[[#This Row],[Task Name]]="","",IF(Tasks[[#This Row],[_IsSummary]],MAX(INDEX(Tasks[_LeafLateFinish],Tasks[[#This Row],[_Row]]+1):INDEX(Tasks[_LeafLateFinish],Tasks[[#This Row],[_Row]]+Tasks[[#This Row],[_Descendants]])),Tasks[[#This Row],[_LeafLateFinish]]))</f>
        <v/>
      </c>
      <c r="AV44" s="46"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4"/>
      <c r="BA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5"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6"/>
      <c r="BJ44" s="22"/>
      <c r="BK44" s="46" t="str">
        <f aca="false">IF(OR(Tasks[[#This Row],[Task Name]]="",Tasks[[#This Row],[Baseline Duration]]=""),"",Tasks[[#This Row],[_SpanDays]]-N(Tasks[[#This Row],[Baseline Duration]]))</f>
        <v/>
      </c>
      <c r="BL44" s="85" t="str">
        <f aca="false">IF(OR(Tasks[[#This Row],[Task Name]]="",Tasks[[#This Row],[Baseline Work]]=""),"",Tasks[[#This Row],[Work]]-N(Tasks[[#This Row],[Baseline Work]]))</f>
        <v/>
      </c>
      <c r="BM44" s="62" t="str">
        <f aca="false">IF(Tasks[[#This Row],[Task Name]]="","",IF(OR(TakeBaseline="Yes",N(Tasks[[#This Row],[Baseline Start]])=0),Tasks[[#This Row],[Start]],Tasks[[#This Row],[Baseline Start]]))</f>
        <v/>
      </c>
      <c r="BN44" s="62"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5" t="str">
        <f aca="false">IF(Tasks[[#This Row],[Task Name]]="","",IF(OR(TakeBaseline="Yes",N(Tasks[[#This Row],[Baseline Work]])=0),Tasks[[#This Row],[Work]],Tasks[[#This Row],[Baseline Work]]))</f>
        <v/>
      </c>
      <c r="BQ44" s="7"/>
      <c r="BR44" s="7"/>
      <c r="BS44" s="22"/>
      <c r="BT44" s="87"/>
      <c r="BU44" s="42" t="str">
        <f aca="false">IF(Tasks[[#This Row],[Task Name]]="","",MAX(1,N(Tasks[[#This Row],[Level]])))</f>
        <v/>
      </c>
      <c r="BV44" s="42" t="n">
        <f aca="false">ROW()-ROW(Tasks[[#Headers],[ID]])</f>
        <v>39</v>
      </c>
      <c r="BW44" s="42" t="n">
        <f aca="false">IF(OR(Tasks[[#This Row],[Task Name]]="",Tasks[[#This Row],[_Level]]&lt;=1),0,IFERROR(LOOKUP(2,1/(Tasks[[#Headers],[_Level]]:Tasks[[#This Row],[_Level]]=Tasks[[#This Row],[_Level]]-1),ROW(Tasks[[#Headers],[_Level]]:Tasks[[#This Row],[_Level]])),0))</f>
        <v>0</v>
      </c>
      <c r="BX44" s="42" t="n">
        <f aca="false">IFERROR(N(INDEX(Tasks[_Level],Tasks[[#This Row],[_Row]]+1)),0)</f>
        <v>0</v>
      </c>
      <c r="BY44" s="88" t="b">
        <f aca="false">AND(Tasks[[#This Row],[Task Name]]&lt;&gt;"",Tasks[[#This Row],[_NextLevel]]&gt;Tasks[[#This Row],[_Level]])</f>
        <v>0</v>
      </c>
      <c r="BZ44" s="42" t="n">
        <f aca="false">IF(Tasks[[#This Row],[_IsSummary]],COUNTIF(Tasks[WBS],Tasks[[#This Row],[WBS]]&amp;".*"),0)</f>
        <v>0</v>
      </c>
      <c r="CA44" s="42" t="n">
        <f aca="false">IF(AND(Tasks[[#This Row],[Task Name]]&lt;&gt;"",NOT(Tasks[[#This Row],[_IsSummary]])),1,0)</f>
        <v>0</v>
      </c>
      <c r="CB44" s="42" t="n">
        <f aca="false">IF(N(Tasks[[#This Row],[_Pred1UID]])=0,0,IFERROR(MATCH(Tasks[[#This Row],[_Pred1UID]],Tasks[UID],0),-1))</f>
        <v>0</v>
      </c>
      <c r="CC44" s="42" t="n">
        <f aca="false">IF(N(Tasks[[#This Row],[_Pred2UID]])=0,0,IFERROR(MATCH(Tasks[[#This Row],[_Pred2UID]],Tasks[UID],0),-1))</f>
        <v>0</v>
      </c>
      <c r="CD44" s="42" t="n">
        <f aca="false">IF(N(Tasks[[#This Row],[_Pred3UID]])=0,0,IFERROR(MATCH(Tasks[[#This Row],[_Pred3UID]],Tasks[UID],0),-1))</f>
        <v>0</v>
      </c>
      <c r="CE44" s="42" t="n">
        <f aca="false">IF(N(Tasks[[#This Row],[_Pred4UID]])=0,0,IFERROR(MATCH(Tasks[[#This Row],[_Pred4UID]],Tasks[UID],0),-1))</f>
        <v>0</v>
      </c>
      <c r="CF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4" s="89" t="n">
        <f aca="false">IF(OR(Tasks[[#This Row],[_ConstraintCode]]=2,Tasks[[#This Row],[_ConstraintCode]]=3,Tasks[[#This Row],[_ConstraintCode]]=4,Tasks[[#This Row],[_ConstraintCode]]=6),Tasks[[#This Row],[_ConstraintStart]],0)</f>
        <v>0</v>
      </c>
      <c r="CI44" s="89" t="n">
        <f aca="false">IF(OR(Tasks[[#This Row],[_ConstraintCode]]=2,Tasks[[#This Row],[_ConstraintCode]]=3,Tasks[[#This Row],[_ConstraintCode]]=5,Tasks[[#This Row],[_ConstraintCode]]=7),Tasks[[#This Row],[_ConstraintStart]],2958465)</f>
        <v>2958465</v>
      </c>
      <c r="CJ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4" s="89" t="str">
        <f aca="false">IF(NOT(Tasks[[#This Row],[_IsLeaf]]=1),"",IF(N(Tasks[[#This Row],[_Days]])&lt;=0,Tasks[[#This Row],[_LeafCalcStart]],WORKDAY.INTL(Tasks[[#This Row],[_LeafCalcStart]],Tasks[[#This Row],[_Days]]-1,WorkWeek,Holidays)))</f>
        <v/>
      </c>
      <c r="CL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4" s="42" t="str">
        <f aca="false">IF(Tasks[[#This Row],[_Predecessors]]="","",TRIM(MID(SUBSTITUTE(SUBSTITUTE(SUBSTITUTE(UPPER(Tasks[[#This Row],[_Predecessors]]),";",",")," ",""),",",REPT(" ",99)),1,99)))</f>
        <v/>
      </c>
      <c r="CO44" s="42" t="str">
        <f aca="false">IF(Tasks[[#This Row],[_Pred1Text]]="","",IFERROR(VALUE(LEFT(Tasks[[#This Row],[_Pred1Text]],MIN(FIND("F",Tasks[[#This Row],[_Pred1Text]]&amp;"F"),FIND("S",Tasks[[#This Row],[_Pred1Text]]&amp;"S"),FIND("+",Tasks[[#This Row],[_Pred1Text]]&amp;"+"),FIND("-",Tasks[[#This Row],[_Pred1Text]]&amp;"-"))-1)),""))</f>
        <v/>
      </c>
      <c r="CP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4" s="42" t="str">
        <f aca="false">IF(Tasks[[#This Row],[_Pred1Text]]="","",TRIM(MID(SUBSTITUTE(SUBSTITUTE(SUBSTITUTE(UPPER(Tasks[[#This Row],[_Predecessors]]),";",",")," ",""),",",REPT(" ",99)),100,99)))</f>
        <v/>
      </c>
      <c r="CS44" s="42" t="str">
        <f aca="false">IF(Tasks[[#This Row],[_Pred2Text]]="","",IFERROR(VALUE(LEFT(Tasks[[#This Row],[_Pred2Text]],MIN(FIND("F",Tasks[[#This Row],[_Pred2Text]]&amp;"F"),FIND("S",Tasks[[#This Row],[_Pred2Text]]&amp;"S"),FIND("+",Tasks[[#This Row],[_Pred2Text]]&amp;"+"),FIND("-",Tasks[[#This Row],[_Pred2Text]]&amp;"-"))-1)),""))</f>
        <v/>
      </c>
      <c r="CT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4" s="42" t="str">
        <f aca="false">IF(Tasks[[#This Row],[_Pred2Text]]="","",TRIM(MID(SUBSTITUTE(SUBSTITUTE(SUBSTITUTE(UPPER(Tasks[[#This Row],[_Predecessors]]),";",",")," ",""),",",REPT(" ",99)),199,99)))</f>
        <v/>
      </c>
      <c r="CW44" s="42" t="str">
        <f aca="false">IF(Tasks[[#This Row],[_Pred3Text]]="","",IFERROR(VALUE(LEFT(Tasks[[#This Row],[_Pred3Text]],MIN(FIND("F",Tasks[[#This Row],[_Pred3Text]]&amp;"F"),FIND("S",Tasks[[#This Row],[_Pred3Text]]&amp;"S"),FIND("+",Tasks[[#This Row],[_Pred3Text]]&amp;"+"),FIND("-",Tasks[[#This Row],[_Pred3Text]]&amp;"-"))-1)),""))</f>
        <v/>
      </c>
      <c r="CX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4" s="42" t="str">
        <f aca="false">IF(Tasks[[#This Row],[_Pred3Text]]="","",TRIM(MID(SUBSTITUTE(SUBSTITUTE(SUBSTITUTE(UPPER(Tasks[[#This Row],[_Predecessors]]),";",",")," ",""),",",REPT(" ",99)),298,99)))</f>
        <v/>
      </c>
      <c r="DA44" s="42" t="str">
        <f aca="false">IF(Tasks[[#This Row],[_Pred4Text]]="","",IFERROR(VALUE(LEFT(Tasks[[#This Row],[_Pred4Text]],MIN(FIND("F",Tasks[[#This Row],[_Pred4Text]]&amp;"F"),FIND("S",Tasks[[#This Row],[_Pred4Text]]&amp;"S"),FIND("+",Tasks[[#This Row],[_Pred4Text]]&amp;"+"),FIND("-",Tasks[[#This Row],[_Pred4Text]]&amp;"-"))-1)),""))</f>
        <v/>
      </c>
      <c r="DB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4" s="42" t="str">
        <f aca="false">IF(OR(Tasks[[#This Row],[Task Name]]="",Tasks[[#This Row],[_Resources]]=""),"",TRIM(MID(SUBSTITUTE(Tasks[[#This Row],[_Resources]],",",REPT(" ",99)),1,99)))</f>
        <v/>
      </c>
      <c r="DE44" s="42" t="str">
        <f aca="false">IF(Tasks[[#This Row],[_Res1Text]]="","",TRIM(MID(SUBSTITUTE(Tasks[[#This Row],[_Resources]],",",REPT(" ",99)),100,99)))</f>
        <v/>
      </c>
      <c r="DF44" s="42" t="str">
        <f aca="false">IF(Tasks[[#This Row],[_Res2Text]]="","",TRIM(MID(SUBSTITUTE(Tasks[[#This Row],[_Resources]],",",REPT(" ",99)),199,99)))</f>
        <v/>
      </c>
      <c r="DG44" s="42" t="str">
        <f aca="false">IF(Tasks[[#This Row],[_Res3Text]]="","",TRIM(MID(SUBSTITUTE(Tasks[[#This Row],[_Resources]],",",REPT(" ",99)),298,99)))</f>
        <v/>
      </c>
      <c r="DH44" s="42" t="n">
        <f aca="false">IF(Tasks[[#This Row],[_Res1Text]]="",0,IFERROR(MATCH(TRIM(LEFT(Tasks[[#This Row],[_Res1Text]],FIND("[",Tasks[[#This Row],[_Res1Text]]&amp;"[")-1)),res_Name,0),IFERROR(MATCH(TRIM(LEFT(Tasks[[#This Row],[_Res1Text]],FIND("[",Tasks[[#This Row],[_Res1Text]]&amp;"[")-1)),res_Initials,0),0)))</f>
        <v>0</v>
      </c>
      <c r="DI44" s="42" t="n">
        <f aca="false">IF(Tasks[[#This Row],[_Res2Text]]="",0,IFERROR(MATCH(TRIM(LEFT(Tasks[[#This Row],[_Res2Text]],FIND("[",Tasks[[#This Row],[_Res2Text]]&amp;"[")-1)),res_Name,0),IFERROR(MATCH(TRIM(LEFT(Tasks[[#This Row],[_Res2Text]],FIND("[",Tasks[[#This Row],[_Res2Text]]&amp;"[")-1)),res_Initials,0),0)))</f>
        <v>0</v>
      </c>
      <c r="DJ44" s="42" t="n">
        <f aca="false">IF(Tasks[[#This Row],[_Res3Text]]="",0,IFERROR(MATCH(TRIM(LEFT(Tasks[[#This Row],[_Res3Text]],FIND("[",Tasks[[#This Row],[_Res3Text]]&amp;"[")-1)),res_Name,0),IFERROR(MATCH(TRIM(LEFT(Tasks[[#This Row],[_Res3Text]],FIND("[",Tasks[[#This Row],[_Res3Text]]&amp;"[")-1)),res_Initials,0),0)))</f>
        <v>0</v>
      </c>
      <c r="DK44" s="42" t="n">
        <f aca="false">IF(Tasks[[#This Row],[_Res4Text]]="",0,IFERROR(MATCH(TRIM(LEFT(Tasks[[#This Row],[_Res4Text]],FIND("[",Tasks[[#This Row],[_Res4Text]]&amp;"[")-1)),res_Name,0),IFERROR(MATCH(TRIM(LEFT(Tasks[[#This Row],[_Res4Text]],FIND("[",Tasks[[#This Row],[_Res4Text]]&amp;"[")-1)),res_Initials,0),0)))</f>
        <v>0</v>
      </c>
      <c r="DL44" s="42" t="str">
        <f aca="false">IF(Tasks[[#This Row],[_Res1Text]]="","",IF(Tasks[[#This Row],[_Res1Row]]&gt;0,INDEX(res_Name,Tasks[[#This Row],[_Res1Row]]),TRIM(LEFT(Tasks[[#This Row],[_Res1Text]],FIND("[",Tasks[[#This Row],[_Res1Text]]&amp;"[")-1))))</f>
        <v/>
      </c>
      <c r="DM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4" s="42" t="n">
        <f aca="false">IF(NOT(Tasks[[#This Row],[_IsLeaf]]=1),0,(Tasks[[#This Row],[_Resource1]]&lt;&gt;"")+(Tasks[[#This Row],[_Res2]]&lt;&gt;"")+(Tasks[[#This Row],[_Res3]]&lt;&gt;"")+(Tasks[[#This Row],[_Res4]]&lt;&gt;""))</f>
        <v>0</v>
      </c>
      <c r="DO44" s="42" t="str">
        <f aca="false">IF(Tasks[[#This Row],[_Res2Text]]="","",IF(Tasks[[#This Row],[_Res2Row]]&gt;0,INDEX(res_Name,Tasks[[#This Row],[_Res2Row]]),TRIM(LEFT(Tasks[[#This Row],[_Res2Text]],FIND("[",Tasks[[#This Row],[_Res2Text]]&amp;"[")-1))))</f>
        <v/>
      </c>
      <c r="DP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4" s="42" t="n">
        <f aca="false">IF(OR(NOT(Tasks[[#This Row],[_IsLeaf]]=1),Tasks[[#This Row],[_Res2Row]]=0),0,N(Tasks[[#This Row],[_Days]])*HoursPerDay*IF(Tasks[[#This Row],[_Res2Units]]="",DefaultUnits,Tasks[[#This Row],[_Res2Units]]))</f>
        <v>0</v>
      </c>
      <c r="DR44" s="42" t="n">
        <f aca="false">IF(AND(AND(Tasks[[#This Row],[_IsLeaf]]=1,Tasks[[#This Row],[_LeafTotalWork]]&gt;0),Tasks[[#This Row],[_Res2Work]]&gt;0),Tasks[[#This Row],[_Res2Work]]/(Tasks[[#This Row],[_FinishWorkday]]-Tasks[[#This Row],[_StartWorkday]]+1),0)</f>
        <v>0</v>
      </c>
      <c r="DS44" s="42" t="n">
        <f aca="false">Tasks[[#This Row],[_Res2WorkPerWD]]*MAX(0,Tasks[[#This Row],[_StartWorkday]]-1)</f>
        <v>0</v>
      </c>
      <c r="DT44" s="42" t="n">
        <f aca="false">Tasks[[#This Row],[_Res2Work]]*Tasks[[#This Row],[_LeafProgress]]</f>
        <v>0</v>
      </c>
      <c r="DU44" s="42" t="str">
        <f aca="false">IF(Tasks[[#This Row],[_Res3Text]]="","",IF(Tasks[[#This Row],[_Res3Row]]&gt;0,INDEX(res_Name,Tasks[[#This Row],[_Res3Row]]),TRIM(LEFT(Tasks[[#This Row],[_Res3Text]],FIND("[",Tasks[[#This Row],[_Res3Text]]&amp;"[")-1))))</f>
        <v/>
      </c>
      <c r="DV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4" s="42" t="n">
        <f aca="false">IF(OR(NOT(Tasks[[#This Row],[_IsLeaf]]=1),Tasks[[#This Row],[_Res3Row]]=0),0,N(Tasks[[#This Row],[_Days]])*HoursPerDay*IF(Tasks[[#This Row],[_Res3Units]]="",DefaultUnits,Tasks[[#This Row],[_Res3Units]]))</f>
        <v>0</v>
      </c>
      <c r="DX44" s="42" t="n">
        <f aca="false">IF(AND(AND(Tasks[[#This Row],[_IsLeaf]]=1,Tasks[[#This Row],[_LeafTotalWork]]&gt;0),Tasks[[#This Row],[_Res3Work]]&gt;0),Tasks[[#This Row],[_Res3Work]]/(Tasks[[#This Row],[_FinishWorkday]]-Tasks[[#This Row],[_StartWorkday]]+1),0)</f>
        <v>0</v>
      </c>
      <c r="DY44" s="42" t="n">
        <f aca="false">Tasks[[#This Row],[_Res3WorkPerWD]]*MAX(0,Tasks[[#This Row],[_StartWorkday]]-1)</f>
        <v>0</v>
      </c>
      <c r="DZ44" s="42" t="n">
        <f aca="false">Tasks[[#This Row],[_Res3Work]]*Tasks[[#This Row],[_LeafProgress]]</f>
        <v>0</v>
      </c>
      <c r="EA44" s="42" t="str">
        <f aca="false">IF(Tasks[[#This Row],[_Res4Text]]="","",IF(Tasks[[#This Row],[_Res4Row]]&gt;0,INDEX(res_Name,Tasks[[#This Row],[_Res4Row]]),TRIM(LEFT(Tasks[[#This Row],[_Res4Text]],FIND("[",Tasks[[#This Row],[_Res4Text]]&amp;"[")-1))))</f>
        <v/>
      </c>
      <c r="EB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4" s="42" t="n">
        <f aca="false">IF(OR(NOT(Tasks[[#This Row],[_IsLeaf]]=1),Tasks[[#This Row],[_Res4Row]]=0),0,N(Tasks[[#This Row],[_Days]])*HoursPerDay*IF(Tasks[[#This Row],[_Res4Units]]="",DefaultUnits,Tasks[[#This Row],[_Res4Units]]))</f>
        <v>0</v>
      </c>
      <c r="ED44" s="42" t="n">
        <f aca="false">IF(AND(AND(Tasks[[#This Row],[_IsLeaf]]=1,Tasks[[#This Row],[_LeafTotalWork]]&gt;0),Tasks[[#This Row],[_Res4Work]]&gt;0),Tasks[[#This Row],[_Res4Work]]/(Tasks[[#This Row],[_FinishWorkday]]-Tasks[[#This Row],[_StartWorkday]]+1),0)</f>
        <v>0</v>
      </c>
      <c r="EE44" s="42" t="n">
        <f aca="false">Tasks[[#This Row],[_Res4WorkPerWD]]*MAX(0,Tasks[[#This Row],[_StartWorkday]]-1)</f>
        <v>0</v>
      </c>
      <c r="EF44" s="42" t="n">
        <f aca="false">Tasks[[#This Row],[_Res4Work]]*Tasks[[#This Row],[_LeafProgress]]</f>
        <v>0</v>
      </c>
      <c r="EG44" s="42" t="n">
        <f aca="false">IF(ISNUMBER(Tasks[[#This Row],[% Complete]]),Tasks[[#This Row],[% Complete]],IF(Tasks[[#This Row],[Stage]]="",0,IFERROR(INDEX(stg_Pct,MATCH(Tasks[[#This Row],[Stage]],stg_Name,0)),0)))</f>
        <v>0</v>
      </c>
      <c r="EH44" s="42" t="n">
        <f aca="false">IF(NOT(Tasks[[#This Row],[_IsLeaf]]=1),0,IF(N(Tasks[[#This Row],[Actual Finish]])&gt;0,1,MIN(1,Tasks[[#This Row],[_Pct]])))</f>
        <v>0</v>
      </c>
      <c r="EI44" s="42" t="n">
        <f aca="false">IF(OR(NOT(Tasks[[#This Row],[_IsLeaf]]=1),Tasks[[#This Row],[_Res1Row]]=0),0,N(Tasks[[#This Row],[_Days]])*HoursPerDay*IF(Tasks[[#This Row],[_Units1]]="",DefaultUnits,Tasks[[#This Row],[_Units1]]))</f>
        <v>0</v>
      </c>
      <c r="EJ44" s="42" t="n">
        <f aca="false">Tasks[[#This Row],[_LeafWork]]+Tasks[[#This Row],[_Res2Work]]+Tasks[[#This Row],[_Res3Work]]+Tasks[[#This Row],[_Res4Work]]</f>
        <v>0</v>
      </c>
      <c r="EK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4" s="42" t="n">
        <f aca="false">IF(NOT(Tasks[[#This Row],[_IsLeaf]]=1),0,MAX(_xlfn.MAXIFS(Tasks[_Row],Tasks[_Pred1UID],Tasks[[#This Row],[UID]]),_xlfn.MAXIFS(Tasks[_Row],Tasks[_Pred2UID],Tasks[[#This Row],[UID]]),_xlfn.MAXIFS(Tasks[_Row],Tasks[_Pred3UID],Tasks[[#This Row],[UID]]),_xlfn.MAXIFS(Tasks[_Row],Tasks[_Pred4UID],Tasks[[#This Row],[UID]])))</f>
        <v>0</v>
      </c>
      <c r="ET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4" s="89" t="str">
        <f aca="false">IF(NOT(Tasks[[#This Row],[_IsLeaf]]=1),"",IF(N(Tasks[[#This Row],[_Days]])&lt;=0,Tasks[[#This Row],[_LeafLateFinish]],WORKDAY.INTL(Tasks[[#This Row],[_LeafLateFinish]],-(Tasks[[#This Row],[_Days]]-1),WorkWeek,Holidays)))</f>
        <v/>
      </c>
      <c r="EW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4" s="88" t="b">
        <f aca="false">AND(Tasks[[#This Row],[_IsLeaf]]=1,Tasks[[#This Row],[_LeafProgress]]&lt;1,N(Tasks[[#This Row],[_LeafTotalSlack]])&lt;=CriticalSlackDays)</f>
        <v>0</v>
      </c>
      <c r="EY44" s="42" t="n">
        <f aca="false">IF(AND(Tasks[[#This Row],[_IsLeaf]]=1,Tasks[[#This Row],[_ConstraintCode]]=1,Tasks[[#This Row],[Mode]]&lt;&gt;"Manual",N(Tasks[[#This Row],[Actual Start]])=0),MAX(0,N(Tasks[[#This Row],[Free Slack]])),0)</f>
        <v>0</v>
      </c>
      <c r="EZ44" s="89" t="str">
        <f aca="false">IF(NOT(Tasks[[#This Row],[_IsLeaf]]=1),"",IF(Tasks[[#This Row],[_AlapShift]]=0,Tasks[[#This Row],[_LeafCalcStart]],WORKDAY.INTL(Tasks[[#This Row],[_LeafCalcStart]],Tasks[[#This Row],[_AlapShift]],WorkWeek,Holidays)))</f>
        <v/>
      </c>
      <c r="FA44" s="89" t="str">
        <f aca="false">IF(NOT(Tasks[[#This Row],[_IsLeaf]]=1),"",IF(Tasks[[#This Row],[_AlapShift]]=0,Tasks[[#This Row],[_LeafCalcFinish]],WORKDAY.INTL(Tasks[[#This Row],[_LeafCalcFinish]],Tasks[[#This Row],[_AlapShift]],WorkWeek,Holidays)))</f>
        <v/>
      </c>
      <c r="FB44" s="89" t="str">
        <f aca="false">IF(NOT(Tasks[[#This Row],[_IsLeaf]]=1),"",IF(Tasks[[#This Row],[_AlapShift]]=0,Tasks[[#This Row],[_LeafFcstStart]],WORKDAY.INTL(Tasks[[#This Row],[_LeafFcstStart]],Tasks[[#This Row],[_AlapShift]],WorkWeek,Holidays)))</f>
        <v/>
      </c>
      <c r="FC44" s="89" t="str">
        <f aca="false">IF(NOT(Tasks[[#This Row],[_IsLeaf]]=1),"",IF(Tasks[[#This Row],[_AlapShift]]=0,Tasks[[#This Row],[_LeafFcstFinish]],WORKDAY.INTL(Tasks[[#This Row],[_LeafFcstFinish]],Tasks[[#This Row],[_AlapShift]],WorkWeek,Holidays)))</f>
        <v/>
      </c>
      <c r="FD44" s="89" t="str">
        <f aca="false">IF(Tasks[[#This Row],[Task Name]]="","",IF(Tasks[[#This Row],[_IsSummary]],MIN(INDEX(Tasks[_ShownCalcStart],Tasks[[#This Row],[_Row]]+1):INDEX(Tasks[_ShownCalcStart],Tasks[[#This Row],[_Row]]+Tasks[[#This Row],[_Descendants]])),Tasks[[#This Row],[_ShownCalcStart]]))</f>
        <v/>
      </c>
      <c r="FE44" s="89" t="str">
        <f aca="false">IF(Tasks[[#This Row],[Task Name]]="","",IF(Tasks[[#This Row],[_IsSummary]],MAX(INDEX(Tasks[_ShownCalcFinish],Tasks[[#This Row],[_Row]]+1):INDEX(Tasks[_ShownCalcFinish],Tasks[[#This Row],[_Row]]+Tasks[[#This Row],[_Descendants]])),Tasks[[#This Row],[_ShownCalcFinish]]))</f>
        <v/>
      </c>
      <c r="FF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4" s="42" t="n">
        <f aca="false">IF(AND(Tasks[[#This Row],[_IsLeaf]]=1,Tasks[[#This Row],[_LeafTotalWork]]&gt;0),NETWORKDAYS.INTL(ProjectStart,Tasks[[#This Row],[_ShownFcstStart]],WorkWeek,Holidays),0)</f>
        <v>0</v>
      </c>
      <c r="FS44" s="42" t="n">
        <f aca="false">IF(AND(Tasks[[#This Row],[_IsLeaf]]=1,Tasks[[#This Row],[_LeafTotalWork]]&gt;0),MAX(Tasks[[#This Row],[_StartWorkday]],NETWORKDAYS.INTL(ProjectStart,Tasks[[#This Row],[_ShownFcstFinish]],WorkWeek,Holidays)),0)</f>
        <v>0</v>
      </c>
      <c r="FT44" s="42" t="n">
        <f aca="false">IF(AND(Tasks[[#This Row],[_IsLeaf]]=1,Tasks[[#This Row],[_LeafTotalWork]]&gt;0),Tasks[[#This Row],[_LeafWork]]/(Tasks[[#This Row],[_FinishWorkday]]-Tasks[[#This Row],[_StartWorkday]]+1),0)</f>
        <v>0</v>
      </c>
      <c r="FU44" s="42" t="n">
        <f aca="false">Tasks[[#This Row],[_WorkPerWorkday]]*(Tasks[[#This Row],[_StartWorkday]]-1)</f>
        <v>-0</v>
      </c>
      <c r="FV44" s="42" t="n">
        <f aca="false">IF(Tasks[[#This Row],[_IsLeaf]]=1,MAX(N(Tasks[[#This Row],[_Days]]),0.1),0)</f>
        <v>0</v>
      </c>
      <c r="FW44" s="42" t="n">
        <f aca="false">Tasks[[#This Row],[_WeightDur]]*Tasks[[#This Row],[_LeafProgress]]</f>
        <v>0</v>
      </c>
      <c r="FX44" s="42" t="n">
        <f aca="false">Tasks[[#This Row],[_WeightDur]]*Tasks[[#This Row],[_PlannedPct]]</f>
        <v>0</v>
      </c>
      <c r="FY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4" s="42" t="str">
        <f aca="false">IF(AND(Tasks[[#This Row],[_IsLeaf]]=1,N(Tasks[[#This Row],[_Days]])=0,Tasks[[#This Row],[_LeafProgress]]&lt;1),Tasks[[#This Row],[_ShownFcstFinish]]+Tasks[[#This Row],[_Row]]/100000,"")</f>
        <v/>
      </c>
      <c r="GA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4" s="42" t="str">
        <f aca="false">IF(Tasks[[#This Row],[Task Name]]="","",LEFT(Tasks[[#This Row],[WBS]],FIND(".",Tasks[[#This Row],[WBS]]&amp;".")-1))</f>
        <v/>
      </c>
      <c r="GC44" s="42" t="str">
        <f aca="false">IF(AND(Tasks[[#This Row],[Task Name]]&lt;&gt;"",Tasks[[#This Row],[_Level]]=1),Tasks[[#This Row],[_Row]],"")</f>
        <v/>
      </c>
      <c r="GD44" s="42" t="str">
        <f aca="false">IF(AND(Tasks[[#This Row],[_IsLeaf]]=1,N(Tasks[[#This Row],[_Days]])=0),Tasks[[#This Row],[Planned Finish]]+Tasks[[#This Row],[_Row]]/100000,"")</f>
        <v/>
      </c>
      <c r="GE44" s="42" t="str">
        <f aca="false">IF(AND(Tasks[[#This Row],[_IsLeaf]]=1,Tasks[[#This Row],[_LeafProgress]]&lt;1,OR(N(Tasks[[#This Row],[Finish Var]])&gt;0,Tasks[[#This Row],[Status]]="Late Start")),MAX(0,Tasks[[#This Row],[Finish Var]])+1-Tasks[[#This Row],[_Row]]/1000000,"")</f>
        <v/>
      </c>
      <c r="GF44" s="42" t="str">
        <f aca="false">IF(AND(Tasks[[#This Row],[_IsLeaf]]=1,N(Tasks[[#This Row],[Actual Start]])=0,Tasks[[#This Row],[_ShownFcstStart]]&gt;=StatusDate,Tasks[[#This Row],[_ShownFcstStart]]&lt;=LookaheadEnd),Tasks[[#This Row],[_ShownFcstStart]]+Tasks[[#This Row],[_Row]]/100000,"")</f>
        <v/>
      </c>
      <c r="GG44" s="42" t="str">
        <f aca="false">IF(AND(Tasks[[#This Row],[_IsLeaf]]=1,Tasks[[#This Row],[_LeafProgress]]&lt;1,Tasks[[#This Row],[_ShownFcstFinish]]&gt;=StatusDate,Tasks[[#This Row],[_ShownFcstFinish]]&lt;=LookaheadEnd),Tasks[[#This Row],[_ShownFcstFinish]]+Tasks[[#This Row],[_Row]]/100000,"")</f>
        <v/>
      </c>
      <c r="GH44" s="42" t="str">
        <f aca="false">IF(Tasks[[#This Row],[_LeafCritical]],Tasks[[#This Row],[_ShownFcstStart]]+Tasks[[#This Row],[_Row]]/100000,"")</f>
        <v/>
      </c>
      <c r="GI44" s="42" t="n">
        <f aca="false">Tasks[[#This Row],[_LeafWork]]*Tasks[[#This Row],[_LeafProgress]]</f>
        <v>0</v>
      </c>
      <c r="GJ44" s="89" t="str">
        <f aca="false">IF(AND(Tasks[[#This Row],[_IsLeaf]]=1,Tasks[[#This Row],[_LeafProgress]]&gt;=1),IF(N(Tasks[[#This Row],[Actual Finish]])&gt;0,Tasks[[#This Row],[Actual Finish]],Tasks[[#This Row],[_ShownFcstFinish]]),"")</f>
        <v/>
      </c>
      <c r="GK44" s="42" t="n">
        <f aca="false">IF(Tasks[[#This Row],[_IsLeaf]]=1,N(Tasks[[#This Row],[Story Points]]),0)</f>
        <v>0</v>
      </c>
      <c r="GL44" s="42" t="str">
        <f aca="false">""</f>
        <v/>
      </c>
      <c r="GM44" s="88" t="b">
        <f aca="false">IF(Tasks[[#This Row],[Task Name]]="",FALSE(),AND(Tasks[[#This Row],[_IsLeaf]]=1,N(Tasks[[#This Row],[_Days]])=0))</f>
        <v>0</v>
      </c>
      <c r="GN44" s="89" t="n">
        <f aca="false">IF(Tasks[[#This Row],[Task Name]]="",0,IF(AND(Tasks[[#This Row],[_IsLeaf]]=1,NOT(Tasks[[#This Row],[_IsMilestone]]),N(Tasks[[#This Row],[Progress]])&gt;0),Tasks[[#This Row],[Start]],0))</f>
        <v>0</v>
      </c>
      <c r="GO44" s="89" t="n">
        <f aca="false">IF(Tasks[[#This Row],[_DoneFrom]]=0,0,IF(Tasks[[#This Row],[Progress]]&gt;=1,Tasks[[#This Row],[Finish]],MAX(Tasks[[#This Row],[_DoneFrom]],Tasks[[#This Row],[Start]]+ROUND((Tasks[[#This Row],[Finish]]-Tasks[[#This Row],[Start]]+1)*Tasks[[#This Row],[Progress]],0)-1)))</f>
        <v>0</v>
      </c>
      <c r="GP44" s="89" t="n">
        <f aca="false">IF(Tasks[[#This Row],[Task Name]]="",0,IF(OR(NOT(Tasks[[#This Row],[_IsLeaf]]=1),Tasks[[#This Row],[_IsMilestone]],N(Tasks[[#This Row],[Progress]])&gt;=1),0,IF(Tasks[[#This Row],[_DoneTo]]&gt;0,Tasks[[#This Row],[_DoneTo]]+1,Tasks[[#This Row],[Start]])))</f>
        <v>0</v>
      </c>
      <c r="GQ44" s="89" t="n">
        <f aca="false">IF(Tasks[[#This Row],[_RemFrom]]=0,0,Tasks[[#This Row],[Finish]])</f>
        <v>0</v>
      </c>
      <c r="GR44" s="88" t="b">
        <f aca="false">IF(Tasks[[#This Row],[Task Name]]="",FALSE(),OR(NOT(BaselineSet),N(Tasks[[#This Row],[Baseline Start]])&gt;0))</f>
        <v>0</v>
      </c>
      <c r="GS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4" s="90" t="str">
        <f aca="false">IF(Tasks[[#This Row],[_IsLeaf]]=1,Tasks[[#This Row],[_Row]],"")</f>
        <v/>
      </c>
      <c r="GW44" s="90" t="str">
        <f aca="false">IFERROR(INDEX(Tasks[UID],SMALL(Tasks[_PickKey],Tasks[[#This Row],[_Row]]))&amp;" "&amp;INDEX(Tasks[Task Name],SMALL(Tasks[_PickKey],Tasks[[#This Row],[_Row]])),"")</f>
        <v/>
      </c>
      <c r="GX44" s="42" t="str">
        <f aca="false">IF(Tasks[[#This Row],[Task Name]]="","",IF(Tasks[[#This Row],[_IsSummary]],NETWORKDAYS.INTL(Tasks[[#This Row],[Start]],Tasks[[#This Row],[Finish]],WorkWeek,Holidays),N(Tasks[[#This Row],[_Days]])))</f>
        <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3"/>
      <c r="U45" s="23"/>
      <c r="V45" s="83"/>
      <c r="W45" s="23"/>
      <c r="X45" s="83"/>
      <c r="Y45" s="23"/>
      <c r="Z45" s="83"/>
      <c r="AA45" s="23"/>
      <c r="AB45" s="23"/>
      <c r="AC45" s="7"/>
      <c r="AD45" s="7"/>
      <c r="AE45" s="62" t="str">
        <f aca="false">IF(Tasks[[#This Row],[Task Name]]="","",IF(Tasks[[#This Row],[_IsSummary]],MIN(INDEX(Tasks[_ShownFcstStart],Tasks[[#This Row],[_Row]]+1):INDEX(Tasks[_ShownFcstStart],Tasks[[#This Row],[_Row]]+Tasks[[#This Row],[_Descendants]])),Tasks[[#This Row],[_ShownFcstStart]]))</f>
        <v/>
      </c>
      <c r="AF45" s="62"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5" s="7"/>
      <c r="AK45" s="22"/>
      <c r="AL45" s="23"/>
      <c r="AM45" s="7"/>
      <c r="AN45" s="46"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2" t="str">
        <f aca="false">IF(Tasks[[#This Row],[Task Name]]="","",IF(N(Tasks[[#This Row],[Baseline Start]])&gt;0,Tasks[[#This Row],[Baseline Start]],Tasks[[#This Row],[_CalcStart]]))</f>
        <v/>
      </c>
      <c r="AR45" s="62" t="str">
        <f aca="false">IF(Tasks[[#This Row],[Task Name]]="","",IF(N(Tasks[[#This Row],[Baseline Finish]])&gt;0,Tasks[[#This Row],[Baseline Finish]],Tasks[[#This Row],[_CalcFinish]]))</f>
        <v/>
      </c>
      <c r="AS45" s="46" t="str">
        <f aca="false">IF(Tasks[[#This Row],[Task Name]]="","",IF(Tasks[[#This Row],[Start]]&gt;=Tasks[[#This Row],[Planned Start]],NETWORKDAYS.INTL(Tasks[[#This Row],[Planned Start]],Tasks[[#This Row],[Start]],WorkWeek,Holidays)-1,1-NETWORKDAYS.INTL(Tasks[[#This Row],[Start]],Tasks[[#This Row],[Planned Start]],WorkWeek,Holidays)))</f>
        <v/>
      </c>
      <c r="AT45" s="62" t="str">
        <f aca="false">IF(Tasks[[#This Row],[Task Name]]="","",IF(Tasks[[#This Row],[_IsSummary]],MIN(INDEX(Tasks[_LeafLateStart],Tasks[[#This Row],[_Row]]+1):INDEX(Tasks[_LeafLateStart],Tasks[[#This Row],[_Row]]+Tasks[[#This Row],[_Descendants]])),Tasks[[#This Row],[_LeafLateStart]]))</f>
        <v/>
      </c>
      <c r="AU45" s="62" t="str">
        <f aca="false">IF(Tasks[[#This Row],[Task Name]]="","",IF(Tasks[[#This Row],[_IsSummary]],MAX(INDEX(Tasks[_LeafLateFinish],Tasks[[#This Row],[_Row]]+1):INDEX(Tasks[_LeafLateFinish],Tasks[[#This Row],[_Row]]+Tasks[[#This Row],[_Descendants]])),Tasks[[#This Row],[_LeafLateFinish]]))</f>
        <v/>
      </c>
      <c r="AV45" s="46"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4"/>
      <c r="BA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5"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6"/>
      <c r="BJ45" s="22"/>
      <c r="BK45" s="46" t="str">
        <f aca="false">IF(OR(Tasks[[#This Row],[Task Name]]="",Tasks[[#This Row],[Baseline Duration]]=""),"",Tasks[[#This Row],[_SpanDays]]-N(Tasks[[#This Row],[Baseline Duration]]))</f>
        <v/>
      </c>
      <c r="BL45" s="85" t="str">
        <f aca="false">IF(OR(Tasks[[#This Row],[Task Name]]="",Tasks[[#This Row],[Baseline Work]]=""),"",Tasks[[#This Row],[Work]]-N(Tasks[[#This Row],[Baseline Work]]))</f>
        <v/>
      </c>
      <c r="BM45" s="62" t="str">
        <f aca="false">IF(Tasks[[#This Row],[Task Name]]="","",IF(OR(TakeBaseline="Yes",N(Tasks[[#This Row],[Baseline Start]])=0),Tasks[[#This Row],[Start]],Tasks[[#This Row],[Baseline Start]]))</f>
        <v/>
      </c>
      <c r="BN45" s="62"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5" t="str">
        <f aca="false">IF(Tasks[[#This Row],[Task Name]]="","",IF(OR(TakeBaseline="Yes",N(Tasks[[#This Row],[Baseline Work]])=0),Tasks[[#This Row],[Work]],Tasks[[#This Row],[Baseline Work]]))</f>
        <v/>
      </c>
      <c r="BQ45" s="7"/>
      <c r="BR45" s="7"/>
      <c r="BS45" s="22"/>
      <c r="BT45" s="87"/>
      <c r="BU45" s="42" t="str">
        <f aca="false">IF(Tasks[[#This Row],[Task Name]]="","",MAX(1,N(Tasks[[#This Row],[Level]])))</f>
        <v/>
      </c>
      <c r="BV45" s="42" t="n">
        <f aca="false">ROW()-ROW(Tasks[[#Headers],[ID]])</f>
        <v>40</v>
      </c>
      <c r="BW45" s="42" t="n">
        <f aca="false">IF(OR(Tasks[[#This Row],[Task Name]]="",Tasks[[#This Row],[_Level]]&lt;=1),0,IFERROR(LOOKUP(2,1/(Tasks[[#Headers],[_Level]]:Tasks[[#This Row],[_Level]]=Tasks[[#This Row],[_Level]]-1),ROW(Tasks[[#Headers],[_Level]]:Tasks[[#This Row],[_Level]])),0))</f>
        <v>0</v>
      </c>
      <c r="BX45" s="42" t="n">
        <f aca="false">IFERROR(N(INDEX(Tasks[_Level],Tasks[[#This Row],[_Row]]+1)),0)</f>
        <v>0</v>
      </c>
      <c r="BY45" s="88" t="b">
        <f aca="false">AND(Tasks[[#This Row],[Task Name]]&lt;&gt;"",Tasks[[#This Row],[_NextLevel]]&gt;Tasks[[#This Row],[_Level]])</f>
        <v>0</v>
      </c>
      <c r="BZ45" s="42" t="n">
        <f aca="false">IF(Tasks[[#This Row],[_IsSummary]],COUNTIF(Tasks[WBS],Tasks[[#This Row],[WBS]]&amp;".*"),0)</f>
        <v>0</v>
      </c>
      <c r="CA45" s="42" t="n">
        <f aca="false">IF(AND(Tasks[[#This Row],[Task Name]]&lt;&gt;"",NOT(Tasks[[#This Row],[_IsSummary]])),1,0)</f>
        <v>0</v>
      </c>
      <c r="CB45" s="42" t="n">
        <f aca="false">IF(N(Tasks[[#This Row],[_Pred1UID]])=0,0,IFERROR(MATCH(Tasks[[#This Row],[_Pred1UID]],Tasks[UID],0),-1))</f>
        <v>0</v>
      </c>
      <c r="CC45" s="42" t="n">
        <f aca="false">IF(N(Tasks[[#This Row],[_Pred2UID]])=0,0,IFERROR(MATCH(Tasks[[#This Row],[_Pred2UID]],Tasks[UID],0),-1))</f>
        <v>0</v>
      </c>
      <c r="CD45" s="42" t="n">
        <f aca="false">IF(N(Tasks[[#This Row],[_Pred3UID]])=0,0,IFERROR(MATCH(Tasks[[#This Row],[_Pred3UID]],Tasks[UID],0),-1))</f>
        <v>0</v>
      </c>
      <c r="CE45" s="42" t="n">
        <f aca="false">IF(N(Tasks[[#This Row],[_Pred4UID]])=0,0,IFERROR(MATCH(Tasks[[#This Row],[_Pred4UID]],Tasks[UID],0),-1))</f>
        <v>0</v>
      </c>
      <c r="CF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5" s="89" t="n">
        <f aca="false">IF(OR(Tasks[[#This Row],[_ConstraintCode]]=2,Tasks[[#This Row],[_ConstraintCode]]=3,Tasks[[#This Row],[_ConstraintCode]]=4,Tasks[[#This Row],[_ConstraintCode]]=6),Tasks[[#This Row],[_ConstraintStart]],0)</f>
        <v>0</v>
      </c>
      <c r="CI45" s="89" t="n">
        <f aca="false">IF(OR(Tasks[[#This Row],[_ConstraintCode]]=2,Tasks[[#This Row],[_ConstraintCode]]=3,Tasks[[#This Row],[_ConstraintCode]]=5,Tasks[[#This Row],[_ConstraintCode]]=7),Tasks[[#This Row],[_ConstraintStart]],2958465)</f>
        <v>2958465</v>
      </c>
      <c r="CJ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5" s="89" t="str">
        <f aca="false">IF(NOT(Tasks[[#This Row],[_IsLeaf]]=1),"",IF(N(Tasks[[#This Row],[_Days]])&lt;=0,Tasks[[#This Row],[_LeafCalcStart]],WORKDAY.INTL(Tasks[[#This Row],[_LeafCalcStart]],Tasks[[#This Row],[_Days]]-1,WorkWeek,Holidays)))</f>
        <v/>
      </c>
      <c r="CL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5" s="42" t="str">
        <f aca="false">IF(Tasks[[#This Row],[_Predecessors]]="","",TRIM(MID(SUBSTITUTE(SUBSTITUTE(SUBSTITUTE(UPPER(Tasks[[#This Row],[_Predecessors]]),";",",")," ",""),",",REPT(" ",99)),1,99)))</f>
        <v/>
      </c>
      <c r="CO45" s="42" t="str">
        <f aca="false">IF(Tasks[[#This Row],[_Pred1Text]]="","",IFERROR(VALUE(LEFT(Tasks[[#This Row],[_Pred1Text]],MIN(FIND("F",Tasks[[#This Row],[_Pred1Text]]&amp;"F"),FIND("S",Tasks[[#This Row],[_Pred1Text]]&amp;"S"),FIND("+",Tasks[[#This Row],[_Pred1Text]]&amp;"+"),FIND("-",Tasks[[#This Row],[_Pred1Text]]&amp;"-"))-1)),""))</f>
        <v/>
      </c>
      <c r="CP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5" s="42" t="str">
        <f aca="false">IF(Tasks[[#This Row],[_Pred1Text]]="","",TRIM(MID(SUBSTITUTE(SUBSTITUTE(SUBSTITUTE(UPPER(Tasks[[#This Row],[_Predecessors]]),";",",")," ",""),",",REPT(" ",99)),100,99)))</f>
        <v/>
      </c>
      <c r="CS45" s="42" t="str">
        <f aca="false">IF(Tasks[[#This Row],[_Pred2Text]]="","",IFERROR(VALUE(LEFT(Tasks[[#This Row],[_Pred2Text]],MIN(FIND("F",Tasks[[#This Row],[_Pred2Text]]&amp;"F"),FIND("S",Tasks[[#This Row],[_Pred2Text]]&amp;"S"),FIND("+",Tasks[[#This Row],[_Pred2Text]]&amp;"+"),FIND("-",Tasks[[#This Row],[_Pred2Text]]&amp;"-"))-1)),""))</f>
        <v/>
      </c>
      <c r="CT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5" s="42" t="str">
        <f aca="false">IF(Tasks[[#This Row],[_Pred2Text]]="","",TRIM(MID(SUBSTITUTE(SUBSTITUTE(SUBSTITUTE(UPPER(Tasks[[#This Row],[_Predecessors]]),";",",")," ",""),",",REPT(" ",99)),199,99)))</f>
        <v/>
      </c>
      <c r="CW45" s="42" t="str">
        <f aca="false">IF(Tasks[[#This Row],[_Pred3Text]]="","",IFERROR(VALUE(LEFT(Tasks[[#This Row],[_Pred3Text]],MIN(FIND("F",Tasks[[#This Row],[_Pred3Text]]&amp;"F"),FIND("S",Tasks[[#This Row],[_Pred3Text]]&amp;"S"),FIND("+",Tasks[[#This Row],[_Pred3Text]]&amp;"+"),FIND("-",Tasks[[#This Row],[_Pred3Text]]&amp;"-"))-1)),""))</f>
        <v/>
      </c>
      <c r="CX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5" s="42" t="str">
        <f aca="false">IF(Tasks[[#This Row],[_Pred3Text]]="","",TRIM(MID(SUBSTITUTE(SUBSTITUTE(SUBSTITUTE(UPPER(Tasks[[#This Row],[_Predecessors]]),";",",")," ",""),",",REPT(" ",99)),298,99)))</f>
        <v/>
      </c>
      <c r="DA45" s="42" t="str">
        <f aca="false">IF(Tasks[[#This Row],[_Pred4Text]]="","",IFERROR(VALUE(LEFT(Tasks[[#This Row],[_Pred4Text]],MIN(FIND("F",Tasks[[#This Row],[_Pred4Text]]&amp;"F"),FIND("S",Tasks[[#This Row],[_Pred4Text]]&amp;"S"),FIND("+",Tasks[[#This Row],[_Pred4Text]]&amp;"+"),FIND("-",Tasks[[#This Row],[_Pred4Text]]&amp;"-"))-1)),""))</f>
        <v/>
      </c>
      <c r="DB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5" s="42" t="str">
        <f aca="false">IF(OR(Tasks[[#This Row],[Task Name]]="",Tasks[[#This Row],[_Resources]]=""),"",TRIM(MID(SUBSTITUTE(Tasks[[#This Row],[_Resources]],",",REPT(" ",99)),1,99)))</f>
        <v/>
      </c>
      <c r="DE45" s="42" t="str">
        <f aca="false">IF(Tasks[[#This Row],[_Res1Text]]="","",TRIM(MID(SUBSTITUTE(Tasks[[#This Row],[_Resources]],",",REPT(" ",99)),100,99)))</f>
        <v/>
      </c>
      <c r="DF45" s="42" t="str">
        <f aca="false">IF(Tasks[[#This Row],[_Res2Text]]="","",TRIM(MID(SUBSTITUTE(Tasks[[#This Row],[_Resources]],",",REPT(" ",99)),199,99)))</f>
        <v/>
      </c>
      <c r="DG45" s="42" t="str">
        <f aca="false">IF(Tasks[[#This Row],[_Res3Text]]="","",TRIM(MID(SUBSTITUTE(Tasks[[#This Row],[_Resources]],",",REPT(" ",99)),298,99)))</f>
        <v/>
      </c>
      <c r="DH45" s="42" t="n">
        <f aca="false">IF(Tasks[[#This Row],[_Res1Text]]="",0,IFERROR(MATCH(TRIM(LEFT(Tasks[[#This Row],[_Res1Text]],FIND("[",Tasks[[#This Row],[_Res1Text]]&amp;"[")-1)),res_Name,0),IFERROR(MATCH(TRIM(LEFT(Tasks[[#This Row],[_Res1Text]],FIND("[",Tasks[[#This Row],[_Res1Text]]&amp;"[")-1)),res_Initials,0),0)))</f>
        <v>0</v>
      </c>
      <c r="DI45" s="42" t="n">
        <f aca="false">IF(Tasks[[#This Row],[_Res2Text]]="",0,IFERROR(MATCH(TRIM(LEFT(Tasks[[#This Row],[_Res2Text]],FIND("[",Tasks[[#This Row],[_Res2Text]]&amp;"[")-1)),res_Name,0),IFERROR(MATCH(TRIM(LEFT(Tasks[[#This Row],[_Res2Text]],FIND("[",Tasks[[#This Row],[_Res2Text]]&amp;"[")-1)),res_Initials,0),0)))</f>
        <v>0</v>
      </c>
      <c r="DJ45" s="42" t="n">
        <f aca="false">IF(Tasks[[#This Row],[_Res3Text]]="",0,IFERROR(MATCH(TRIM(LEFT(Tasks[[#This Row],[_Res3Text]],FIND("[",Tasks[[#This Row],[_Res3Text]]&amp;"[")-1)),res_Name,0),IFERROR(MATCH(TRIM(LEFT(Tasks[[#This Row],[_Res3Text]],FIND("[",Tasks[[#This Row],[_Res3Text]]&amp;"[")-1)),res_Initials,0),0)))</f>
        <v>0</v>
      </c>
      <c r="DK45" s="42" t="n">
        <f aca="false">IF(Tasks[[#This Row],[_Res4Text]]="",0,IFERROR(MATCH(TRIM(LEFT(Tasks[[#This Row],[_Res4Text]],FIND("[",Tasks[[#This Row],[_Res4Text]]&amp;"[")-1)),res_Name,0),IFERROR(MATCH(TRIM(LEFT(Tasks[[#This Row],[_Res4Text]],FIND("[",Tasks[[#This Row],[_Res4Text]]&amp;"[")-1)),res_Initials,0),0)))</f>
        <v>0</v>
      </c>
      <c r="DL45" s="42" t="str">
        <f aca="false">IF(Tasks[[#This Row],[_Res1Text]]="","",IF(Tasks[[#This Row],[_Res1Row]]&gt;0,INDEX(res_Name,Tasks[[#This Row],[_Res1Row]]),TRIM(LEFT(Tasks[[#This Row],[_Res1Text]],FIND("[",Tasks[[#This Row],[_Res1Text]]&amp;"[")-1))))</f>
        <v/>
      </c>
      <c r="DM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5" s="42" t="n">
        <f aca="false">IF(NOT(Tasks[[#This Row],[_IsLeaf]]=1),0,(Tasks[[#This Row],[_Resource1]]&lt;&gt;"")+(Tasks[[#This Row],[_Res2]]&lt;&gt;"")+(Tasks[[#This Row],[_Res3]]&lt;&gt;"")+(Tasks[[#This Row],[_Res4]]&lt;&gt;""))</f>
        <v>0</v>
      </c>
      <c r="DO45" s="42" t="str">
        <f aca="false">IF(Tasks[[#This Row],[_Res2Text]]="","",IF(Tasks[[#This Row],[_Res2Row]]&gt;0,INDEX(res_Name,Tasks[[#This Row],[_Res2Row]]),TRIM(LEFT(Tasks[[#This Row],[_Res2Text]],FIND("[",Tasks[[#This Row],[_Res2Text]]&amp;"[")-1))))</f>
        <v/>
      </c>
      <c r="DP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5" s="42" t="n">
        <f aca="false">IF(OR(NOT(Tasks[[#This Row],[_IsLeaf]]=1),Tasks[[#This Row],[_Res2Row]]=0),0,N(Tasks[[#This Row],[_Days]])*HoursPerDay*IF(Tasks[[#This Row],[_Res2Units]]="",DefaultUnits,Tasks[[#This Row],[_Res2Units]]))</f>
        <v>0</v>
      </c>
      <c r="DR45" s="42" t="n">
        <f aca="false">IF(AND(AND(Tasks[[#This Row],[_IsLeaf]]=1,Tasks[[#This Row],[_LeafTotalWork]]&gt;0),Tasks[[#This Row],[_Res2Work]]&gt;0),Tasks[[#This Row],[_Res2Work]]/(Tasks[[#This Row],[_FinishWorkday]]-Tasks[[#This Row],[_StartWorkday]]+1),0)</f>
        <v>0</v>
      </c>
      <c r="DS45" s="42" t="n">
        <f aca="false">Tasks[[#This Row],[_Res2WorkPerWD]]*MAX(0,Tasks[[#This Row],[_StartWorkday]]-1)</f>
        <v>0</v>
      </c>
      <c r="DT45" s="42" t="n">
        <f aca="false">Tasks[[#This Row],[_Res2Work]]*Tasks[[#This Row],[_LeafProgress]]</f>
        <v>0</v>
      </c>
      <c r="DU45" s="42" t="str">
        <f aca="false">IF(Tasks[[#This Row],[_Res3Text]]="","",IF(Tasks[[#This Row],[_Res3Row]]&gt;0,INDEX(res_Name,Tasks[[#This Row],[_Res3Row]]),TRIM(LEFT(Tasks[[#This Row],[_Res3Text]],FIND("[",Tasks[[#This Row],[_Res3Text]]&amp;"[")-1))))</f>
        <v/>
      </c>
      <c r="DV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5" s="42" t="n">
        <f aca="false">IF(OR(NOT(Tasks[[#This Row],[_IsLeaf]]=1),Tasks[[#This Row],[_Res3Row]]=0),0,N(Tasks[[#This Row],[_Days]])*HoursPerDay*IF(Tasks[[#This Row],[_Res3Units]]="",DefaultUnits,Tasks[[#This Row],[_Res3Units]]))</f>
        <v>0</v>
      </c>
      <c r="DX45" s="42" t="n">
        <f aca="false">IF(AND(AND(Tasks[[#This Row],[_IsLeaf]]=1,Tasks[[#This Row],[_LeafTotalWork]]&gt;0),Tasks[[#This Row],[_Res3Work]]&gt;0),Tasks[[#This Row],[_Res3Work]]/(Tasks[[#This Row],[_FinishWorkday]]-Tasks[[#This Row],[_StartWorkday]]+1),0)</f>
        <v>0</v>
      </c>
      <c r="DY45" s="42" t="n">
        <f aca="false">Tasks[[#This Row],[_Res3WorkPerWD]]*MAX(0,Tasks[[#This Row],[_StartWorkday]]-1)</f>
        <v>0</v>
      </c>
      <c r="DZ45" s="42" t="n">
        <f aca="false">Tasks[[#This Row],[_Res3Work]]*Tasks[[#This Row],[_LeafProgress]]</f>
        <v>0</v>
      </c>
      <c r="EA45" s="42" t="str">
        <f aca="false">IF(Tasks[[#This Row],[_Res4Text]]="","",IF(Tasks[[#This Row],[_Res4Row]]&gt;0,INDEX(res_Name,Tasks[[#This Row],[_Res4Row]]),TRIM(LEFT(Tasks[[#This Row],[_Res4Text]],FIND("[",Tasks[[#This Row],[_Res4Text]]&amp;"[")-1))))</f>
        <v/>
      </c>
      <c r="EB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5" s="42" t="n">
        <f aca="false">IF(OR(NOT(Tasks[[#This Row],[_IsLeaf]]=1),Tasks[[#This Row],[_Res4Row]]=0),0,N(Tasks[[#This Row],[_Days]])*HoursPerDay*IF(Tasks[[#This Row],[_Res4Units]]="",DefaultUnits,Tasks[[#This Row],[_Res4Units]]))</f>
        <v>0</v>
      </c>
      <c r="ED45" s="42" t="n">
        <f aca="false">IF(AND(AND(Tasks[[#This Row],[_IsLeaf]]=1,Tasks[[#This Row],[_LeafTotalWork]]&gt;0),Tasks[[#This Row],[_Res4Work]]&gt;0),Tasks[[#This Row],[_Res4Work]]/(Tasks[[#This Row],[_FinishWorkday]]-Tasks[[#This Row],[_StartWorkday]]+1),0)</f>
        <v>0</v>
      </c>
      <c r="EE45" s="42" t="n">
        <f aca="false">Tasks[[#This Row],[_Res4WorkPerWD]]*MAX(0,Tasks[[#This Row],[_StartWorkday]]-1)</f>
        <v>0</v>
      </c>
      <c r="EF45" s="42" t="n">
        <f aca="false">Tasks[[#This Row],[_Res4Work]]*Tasks[[#This Row],[_LeafProgress]]</f>
        <v>0</v>
      </c>
      <c r="EG45" s="42" t="n">
        <f aca="false">IF(ISNUMBER(Tasks[[#This Row],[% Complete]]),Tasks[[#This Row],[% Complete]],IF(Tasks[[#This Row],[Stage]]="",0,IFERROR(INDEX(stg_Pct,MATCH(Tasks[[#This Row],[Stage]],stg_Name,0)),0)))</f>
        <v>0</v>
      </c>
      <c r="EH45" s="42" t="n">
        <f aca="false">IF(NOT(Tasks[[#This Row],[_IsLeaf]]=1),0,IF(N(Tasks[[#This Row],[Actual Finish]])&gt;0,1,MIN(1,Tasks[[#This Row],[_Pct]])))</f>
        <v>0</v>
      </c>
      <c r="EI45" s="42" t="n">
        <f aca="false">IF(OR(NOT(Tasks[[#This Row],[_IsLeaf]]=1),Tasks[[#This Row],[_Res1Row]]=0),0,N(Tasks[[#This Row],[_Days]])*HoursPerDay*IF(Tasks[[#This Row],[_Units1]]="",DefaultUnits,Tasks[[#This Row],[_Units1]]))</f>
        <v>0</v>
      </c>
      <c r="EJ45" s="42" t="n">
        <f aca="false">Tasks[[#This Row],[_LeafWork]]+Tasks[[#This Row],[_Res2Work]]+Tasks[[#This Row],[_Res3Work]]+Tasks[[#This Row],[_Res4Work]]</f>
        <v>0</v>
      </c>
      <c r="EK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5" s="42" t="n">
        <f aca="false">IF(NOT(Tasks[[#This Row],[_IsLeaf]]=1),0,MAX(_xlfn.MAXIFS(Tasks[_Row],Tasks[_Pred1UID],Tasks[[#This Row],[UID]]),_xlfn.MAXIFS(Tasks[_Row],Tasks[_Pred2UID],Tasks[[#This Row],[UID]]),_xlfn.MAXIFS(Tasks[_Row],Tasks[_Pred3UID],Tasks[[#This Row],[UID]]),_xlfn.MAXIFS(Tasks[_Row],Tasks[_Pred4UID],Tasks[[#This Row],[UID]])))</f>
        <v>0</v>
      </c>
      <c r="ET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5" s="89" t="str">
        <f aca="false">IF(NOT(Tasks[[#This Row],[_IsLeaf]]=1),"",IF(N(Tasks[[#This Row],[_Days]])&lt;=0,Tasks[[#This Row],[_LeafLateFinish]],WORKDAY.INTL(Tasks[[#This Row],[_LeafLateFinish]],-(Tasks[[#This Row],[_Days]]-1),WorkWeek,Holidays)))</f>
        <v/>
      </c>
      <c r="EW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5" s="88" t="b">
        <f aca="false">AND(Tasks[[#This Row],[_IsLeaf]]=1,Tasks[[#This Row],[_LeafProgress]]&lt;1,N(Tasks[[#This Row],[_LeafTotalSlack]])&lt;=CriticalSlackDays)</f>
        <v>0</v>
      </c>
      <c r="EY45" s="42" t="n">
        <f aca="false">IF(AND(Tasks[[#This Row],[_IsLeaf]]=1,Tasks[[#This Row],[_ConstraintCode]]=1,Tasks[[#This Row],[Mode]]&lt;&gt;"Manual",N(Tasks[[#This Row],[Actual Start]])=0),MAX(0,N(Tasks[[#This Row],[Free Slack]])),0)</f>
        <v>0</v>
      </c>
      <c r="EZ45" s="89" t="str">
        <f aca="false">IF(NOT(Tasks[[#This Row],[_IsLeaf]]=1),"",IF(Tasks[[#This Row],[_AlapShift]]=0,Tasks[[#This Row],[_LeafCalcStart]],WORKDAY.INTL(Tasks[[#This Row],[_LeafCalcStart]],Tasks[[#This Row],[_AlapShift]],WorkWeek,Holidays)))</f>
        <v/>
      </c>
      <c r="FA45" s="89" t="str">
        <f aca="false">IF(NOT(Tasks[[#This Row],[_IsLeaf]]=1),"",IF(Tasks[[#This Row],[_AlapShift]]=0,Tasks[[#This Row],[_LeafCalcFinish]],WORKDAY.INTL(Tasks[[#This Row],[_LeafCalcFinish]],Tasks[[#This Row],[_AlapShift]],WorkWeek,Holidays)))</f>
        <v/>
      </c>
      <c r="FB45" s="89" t="str">
        <f aca="false">IF(NOT(Tasks[[#This Row],[_IsLeaf]]=1),"",IF(Tasks[[#This Row],[_AlapShift]]=0,Tasks[[#This Row],[_LeafFcstStart]],WORKDAY.INTL(Tasks[[#This Row],[_LeafFcstStart]],Tasks[[#This Row],[_AlapShift]],WorkWeek,Holidays)))</f>
        <v/>
      </c>
      <c r="FC45" s="89" t="str">
        <f aca="false">IF(NOT(Tasks[[#This Row],[_IsLeaf]]=1),"",IF(Tasks[[#This Row],[_AlapShift]]=0,Tasks[[#This Row],[_LeafFcstFinish]],WORKDAY.INTL(Tasks[[#This Row],[_LeafFcstFinish]],Tasks[[#This Row],[_AlapShift]],WorkWeek,Holidays)))</f>
        <v/>
      </c>
      <c r="FD45" s="89" t="str">
        <f aca="false">IF(Tasks[[#This Row],[Task Name]]="","",IF(Tasks[[#This Row],[_IsSummary]],MIN(INDEX(Tasks[_ShownCalcStart],Tasks[[#This Row],[_Row]]+1):INDEX(Tasks[_ShownCalcStart],Tasks[[#This Row],[_Row]]+Tasks[[#This Row],[_Descendants]])),Tasks[[#This Row],[_ShownCalcStart]]))</f>
        <v/>
      </c>
      <c r="FE45" s="89" t="str">
        <f aca="false">IF(Tasks[[#This Row],[Task Name]]="","",IF(Tasks[[#This Row],[_IsSummary]],MAX(INDEX(Tasks[_ShownCalcFinish],Tasks[[#This Row],[_Row]]+1):INDEX(Tasks[_ShownCalcFinish],Tasks[[#This Row],[_Row]]+Tasks[[#This Row],[_Descendants]])),Tasks[[#This Row],[_ShownCalcFinish]]))</f>
        <v/>
      </c>
      <c r="FF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5" s="42" t="n">
        <f aca="false">IF(AND(Tasks[[#This Row],[_IsLeaf]]=1,Tasks[[#This Row],[_LeafTotalWork]]&gt;0),NETWORKDAYS.INTL(ProjectStart,Tasks[[#This Row],[_ShownFcstStart]],WorkWeek,Holidays),0)</f>
        <v>0</v>
      </c>
      <c r="FS45" s="42" t="n">
        <f aca="false">IF(AND(Tasks[[#This Row],[_IsLeaf]]=1,Tasks[[#This Row],[_LeafTotalWork]]&gt;0),MAX(Tasks[[#This Row],[_StartWorkday]],NETWORKDAYS.INTL(ProjectStart,Tasks[[#This Row],[_ShownFcstFinish]],WorkWeek,Holidays)),0)</f>
        <v>0</v>
      </c>
      <c r="FT45" s="42" t="n">
        <f aca="false">IF(AND(Tasks[[#This Row],[_IsLeaf]]=1,Tasks[[#This Row],[_LeafTotalWork]]&gt;0),Tasks[[#This Row],[_LeafWork]]/(Tasks[[#This Row],[_FinishWorkday]]-Tasks[[#This Row],[_StartWorkday]]+1),0)</f>
        <v>0</v>
      </c>
      <c r="FU45" s="42" t="n">
        <f aca="false">Tasks[[#This Row],[_WorkPerWorkday]]*(Tasks[[#This Row],[_StartWorkday]]-1)</f>
        <v>-0</v>
      </c>
      <c r="FV45" s="42" t="n">
        <f aca="false">IF(Tasks[[#This Row],[_IsLeaf]]=1,MAX(N(Tasks[[#This Row],[_Days]]),0.1),0)</f>
        <v>0</v>
      </c>
      <c r="FW45" s="42" t="n">
        <f aca="false">Tasks[[#This Row],[_WeightDur]]*Tasks[[#This Row],[_LeafProgress]]</f>
        <v>0</v>
      </c>
      <c r="FX45" s="42" t="n">
        <f aca="false">Tasks[[#This Row],[_WeightDur]]*Tasks[[#This Row],[_PlannedPct]]</f>
        <v>0</v>
      </c>
      <c r="FY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5" s="42" t="str">
        <f aca="false">IF(AND(Tasks[[#This Row],[_IsLeaf]]=1,N(Tasks[[#This Row],[_Days]])=0,Tasks[[#This Row],[_LeafProgress]]&lt;1),Tasks[[#This Row],[_ShownFcstFinish]]+Tasks[[#This Row],[_Row]]/100000,"")</f>
        <v/>
      </c>
      <c r="GA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5" s="42" t="str">
        <f aca="false">IF(Tasks[[#This Row],[Task Name]]="","",LEFT(Tasks[[#This Row],[WBS]],FIND(".",Tasks[[#This Row],[WBS]]&amp;".")-1))</f>
        <v/>
      </c>
      <c r="GC45" s="42" t="str">
        <f aca="false">IF(AND(Tasks[[#This Row],[Task Name]]&lt;&gt;"",Tasks[[#This Row],[_Level]]=1),Tasks[[#This Row],[_Row]],"")</f>
        <v/>
      </c>
      <c r="GD45" s="42" t="str">
        <f aca="false">IF(AND(Tasks[[#This Row],[_IsLeaf]]=1,N(Tasks[[#This Row],[_Days]])=0),Tasks[[#This Row],[Planned Finish]]+Tasks[[#This Row],[_Row]]/100000,"")</f>
        <v/>
      </c>
      <c r="GE45" s="42" t="str">
        <f aca="false">IF(AND(Tasks[[#This Row],[_IsLeaf]]=1,Tasks[[#This Row],[_LeafProgress]]&lt;1,OR(N(Tasks[[#This Row],[Finish Var]])&gt;0,Tasks[[#This Row],[Status]]="Late Start")),MAX(0,Tasks[[#This Row],[Finish Var]])+1-Tasks[[#This Row],[_Row]]/1000000,"")</f>
        <v/>
      </c>
      <c r="GF45" s="42" t="str">
        <f aca="false">IF(AND(Tasks[[#This Row],[_IsLeaf]]=1,N(Tasks[[#This Row],[Actual Start]])=0,Tasks[[#This Row],[_ShownFcstStart]]&gt;=StatusDate,Tasks[[#This Row],[_ShownFcstStart]]&lt;=LookaheadEnd),Tasks[[#This Row],[_ShownFcstStart]]+Tasks[[#This Row],[_Row]]/100000,"")</f>
        <v/>
      </c>
      <c r="GG45" s="42" t="str">
        <f aca="false">IF(AND(Tasks[[#This Row],[_IsLeaf]]=1,Tasks[[#This Row],[_LeafProgress]]&lt;1,Tasks[[#This Row],[_ShownFcstFinish]]&gt;=StatusDate,Tasks[[#This Row],[_ShownFcstFinish]]&lt;=LookaheadEnd),Tasks[[#This Row],[_ShownFcstFinish]]+Tasks[[#This Row],[_Row]]/100000,"")</f>
        <v/>
      </c>
      <c r="GH45" s="42" t="str">
        <f aca="false">IF(Tasks[[#This Row],[_LeafCritical]],Tasks[[#This Row],[_ShownFcstStart]]+Tasks[[#This Row],[_Row]]/100000,"")</f>
        <v/>
      </c>
      <c r="GI45" s="42" t="n">
        <f aca="false">Tasks[[#This Row],[_LeafWork]]*Tasks[[#This Row],[_LeafProgress]]</f>
        <v>0</v>
      </c>
      <c r="GJ45" s="89" t="str">
        <f aca="false">IF(AND(Tasks[[#This Row],[_IsLeaf]]=1,Tasks[[#This Row],[_LeafProgress]]&gt;=1),IF(N(Tasks[[#This Row],[Actual Finish]])&gt;0,Tasks[[#This Row],[Actual Finish]],Tasks[[#This Row],[_ShownFcstFinish]]),"")</f>
        <v/>
      </c>
      <c r="GK45" s="42" t="n">
        <f aca="false">IF(Tasks[[#This Row],[_IsLeaf]]=1,N(Tasks[[#This Row],[Story Points]]),0)</f>
        <v>0</v>
      </c>
      <c r="GL45" s="42" t="str">
        <f aca="false">""</f>
        <v/>
      </c>
      <c r="GM45" s="88" t="b">
        <f aca="false">IF(Tasks[[#This Row],[Task Name]]="",FALSE(),AND(Tasks[[#This Row],[_IsLeaf]]=1,N(Tasks[[#This Row],[_Days]])=0))</f>
        <v>0</v>
      </c>
      <c r="GN45" s="89" t="n">
        <f aca="false">IF(Tasks[[#This Row],[Task Name]]="",0,IF(AND(Tasks[[#This Row],[_IsLeaf]]=1,NOT(Tasks[[#This Row],[_IsMilestone]]),N(Tasks[[#This Row],[Progress]])&gt;0),Tasks[[#This Row],[Start]],0))</f>
        <v>0</v>
      </c>
      <c r="GO45" s="89" t="n">
        <f aca="false">IF(Tasks[[#This Row],[_DoneFrom]]=0,0,IF(Tasks[[#This Row],[Progress]]&gt;=1,Tasks[[#This Row],[Finish]],MAX(Tasks[[#This Row],[_DoneFrom]],Tasks[[#This Row],[Start]]+ROUND((Tasks[[#This Row],[Finish]]-Tasks[[#This Row],[Start]]+1)*Tasks[[#This Row],[Progress]],0)-1)))</f>
        <v>0</v>
      </c>
      <c r="GP45" s="89" t="n">
        <f aca="false">IF(Tasks[[#This Row],[Task Name]]="",0,IF(OR(NOT(Tasks[[#This Row],[_IsLeaf]]=1),Tasks[[#This Row],[_IsMilestone]],N(Tasks[[#This Row],[Progress]])&gt;=1),0,IF(Tasks[[#This Row],[_DoneTo]]&gt;0,Tasks[[#This Row],[_DoneTo]]+1,Tasks[[#This Row],[Start]])))</f>
        <v>0</v>
      </c>
      <c r="GQ45" s="89" t="n">
        <f aca="false">IF(Tasks[[#This Row],[_RemFrom]]=0,0,Tasks[[#This Row],[Finish]])</f>
        <v>0</v>
      </c>
      <c r="GR45" s="88" t="b">
        <f aca="false">IF(Tasks[[#This Row],[Task Name]]="",FALSE(),OR(NOT(BaselineSet),N(Tasks[[#This Row],[Baseline Start]])&gt;0))</f>
        <v>0</v>
      </c>
      <c r="GS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5" s="90" t="str">
        <f aca="false">IF(Tasks[[#This Row],[_IsLeaf]]=1,Tasks[[#This Row],[_Row]],"")</f>
        <v/>
      </c>
      <c r="GW45" s="90" t="str">
        <f aca="false">IFERROR(INDEX(Tasks[UID],SMALL(Tasks[_PickKey],Tasks[[#This Row],[_Row]]))&amp;" "&amp;INDEX(Tasks[Task Name],SMALL(Tasks[_PickKey],Tasks[[#This Row],[_Row]])),"")</f>
        <v/>
      </c>
      <c r="GX45" s="42" t="str">
        <f aca="false">IF(Tasks[[#This Row],[Task Name]]="","",IF(Tasks[[#This Row],[_IsSummary]],NETWORKDAYS.INTL(Tasks[[#This Row],[Start]],Tasks[[#This Row],[Finish]],WorkWeek,Holidays),N(Tasks[[#This Row],[_Days]])))</f>
        <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3"/>
      <c r="U46" s="23"/>
      <c r="V46" s="83"/>
      <c r="W46" s="23"/>
      <c r="X46" s="83"/>
      <c r="Y46" s="23"/>
      <c r="Z46" s="83"/>
      <c r="AA46" s="23"/>
      <c r="AB46" s="23"/>
      <c r="AC46" s="7"/>
      <c r="AD46" s="7"/>
      <c r="AE46" s="62" t="str">
        <f aca="false">IF(Tasks[[#This Row],[Task Name]]="","",IF(Tasks[[#This Row],[_IsSummary]],MIN(INDEX(Tasks[_ShownFcstStart],Tasks[[#This Row],[_Row]]+1):INDEX(Tasks[_ShownFcstStart],Tasks[[#This Row],[_Row]]+Tasks[[#This Row],[_Descendants]])),Tasks[[#This Row],[_ShownFcstStart]]))</f>
        <v/>
      </c>
      <c r="AF46" s="62"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6" s="7"/>
      <c r="AK46" s="22"/>
      <c r="AL46" s="23"/>
      <c r="AM46" s="7"/>
      <c r="AN46" s="46"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2" t="str">
        <f aca="false">IF(Tasks[[#This Row],[Task Name]]="","",IF(N(Tasks[[#This Row],[Baseline Start]])&gt;0,Tasks[[#This Row],[Baseline Start]],Tasks[[#This Row],[_CalcStart]]))</f>
        <v/>
      </c>
      <c r="AR46" s="62" t="str">
        <f aca="false">IF(Tasks[[#This Row],[Task Name]]="","",IF(N(Tasks[[#This Row],[Baseline Finish]])&gt;0,Tasks[[#This Row],[Baseline Finish]],Tasks[[#This Row],[_CalcFinish]]))</f>
        <v/>
      </c>
      <c r="AS46" s="46" t="str">
        <f aca="false">IF(Tasks[[#This Row],[Task Name]]="","",IF(Tasks[[#This Row],[Start]]&gt;=Tasks[[#This Row],[Planned Start]],NETWORKDAYS.INTL(Tasks[[#This Row],[Planned Start]],Tasks[[#This Row],[Start]],WorkWeek,Holidays)-1,1-NETWORKDAYS.INTL(Tasks[[#This Row],[Start]],Tasks[[#This Row],[Planned Start]],WorkWeek,Holidays)))</f>
        <v/>
      </c>
      <c r="AT46" s="62" t="str">
        <f aca="false">IF(Tasks[[#This Row],[Task Name]]="","",IF(Tasks[[#This Row],[_IsSummary]],MIN(INDEX(Tasks[_LeafLateStart],Tasks[[#This Row],[_Row]]+1):INDEX(Tasks[_LeafLateStart],Tasks[[#This Row],[_Row]]+Tasks[[#This Row],[_Descendants]])),Tasks[[#This Row],[_LeafLateStart]]))</f>
        <v/>
      </c>
      <c r="AU46" s="62" t="str">
        <f aca="false">IF(Tasks[[#This Row],[Task Name]]="","",IF(Tasks[[#This Row],[_IsSummary]],MAX(INDEX(Tasks[_LeafLateFinish],Tasks[[#This Row],[_Row]]+1):INDEX(Tasks[_LeafLateFinish],Tasks[[#This Row],[_Row]]+Tasks[[#This Row],[_Descendants]])),Tasks[[#This Row],[_LeafLateFinish]]))</f>
        <v/>
      </c>
      <c r="AV46" s="46"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4"/>
      <c r="BA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5"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6"/>
      <c r="BJ46" s="22"/>
      <c r="BK46" s="46" t="str">
        <f aca="false">IF(OR(Tasks[[#This Row],[Task Name]]="",Tasks[[#This Row],[Baseline Duration]]=""),"",Tasks[[#This Row],[_SpanDays]]-N(Tasks[[#This Row],[Baseline Duration]]))</f>
        <v/>
      </c>
      <c r="BL46" s="85" t="str">
        <f aca="false">IF(OR(Tasks[[#This Row],[Task Name]]="",Tasks[[#This Row],[Baseline Work]]=""),"",Tasks[[#This Row],[Work]]-N(Tasks[[#This Row],[Baseline Work]]))</f>
        <v/>
      </c>
      <c r="BM46" s="62" t="str">
        <f aca="false">IF(Tasks[[#This Row],[Task Name]]="","",IF(OR(TakeBaseline="Yes",N(Tasks[[#This Row],[Baseline Start]])=0),Tasks[[#This Row],[Start]],Tasks[[#This Row],[Baseline Start]]))</f>
        <v/>
      </c>
      <c r="BN46" s="62"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5" t="str">
        <f aca="false">IF(Tasks[[#This Row],[Task Name]]="","",IF(OR(TakeBaseline="Yes",N(Tasks[[#This Row],[Baseline Work]])=0),Tasks[[#This Row],[Work]],Tasks[[#This Row],[Baseline Work]]))</f>
        <v/>
      </c>
      <c r="BQ46" s="7"/>
      <c r="BR46" s="7"/>
      <c r="BS46" s="22"/>
      <c r="BT46" s="87"/>
      <c r="BU46" s="42" t="str">
        <f aca="false">IF(Tasks[[#This Row],[Task Name]]="","",MAX(1,N(Tasks[[#This Row],[Level]])))</f>
        <v/>
      </c>
      <c r="BV46" s="42" t="n">
        <f aca="false">ROW()-ROW(Tasks[[#Headers],[ID]])</f>
        <v>41</v>
      </c>
      <c r="BW46" s="42" t="n">
        <f aca="false">IF(OR(Tasks[[#This Row],[Task Name]]="",Tasks[[#This Row],[_Level]]&lt;=1),0,IFERROR(LOOKUP(2,1/(Tasks[[#Headers],[_Level]]:Tasks[[#This Row],[_Level]]=Tasks[[#This Row],[_Level]]-1),ROW(Tasks[[#Headers],[_Level]]:Tasks[[#This Row],[_Level]])),0))</f>
        <v>0</v>
      </c>
      <c r="BX46" s="42" t="n">
        <f aca="false">IFERROR(N(INDEX(Tasks[_Level],Tasks[[#This Row],[_Row]]+1)),0)</f>
        <v>0</v>
      </c>
      <c r="BY46" s="88" t="b">
        <f aca="false">AND(Tasks[[#This Row],[Task Name]]&lt;&gt;"",Tasks[[#This Row],[_NextLevel]]&gt;Tasks[[#This Row],[_Level]])</f>
        <v>0</v>
      </c>
      <c r="BZ46" s="42" t="n">
        <f aca="false">IF(Tasks[[#This Row],[_IsSummary]],COUNTIF(Tasks[WBS],Tasks[[#This Row],[WBS]]&amp;".*"),0)</f>
        <v>0</v>
      </c>
      <c r="CA46" s="42" t="n">
        <f aca="false">IF(AND(Tasks[[#This Row],[Task Name]]&lt;&gt;"",NOT(Tasks[[#This Row],[_IsSummary]])),1,0)</f>
        <v>0</v>
      </c>
      <c r="CB46" s="42" t="n">
        <f aca="false">IF(N(Tasks[[#This Row],[_Pred1UID]])=0,0,IFERROR(MATCH(Tasks[[#This Row],[_Pred1UID]],Tasks[UID],0),-1))</f>
        <v>0</v>
      </c>
      <c r="CC46" s="42" t="n">
        <f aca="false">IF(N(Tasks[[#This Row],[_Pred2UID]])=0,0,IFERROR(MATCH(Tasks[[#This Row],[_Pred2UID]],Tasks[UID],0),-1))</f>
        <v>0</v>
      </c>
      <c r="CD46" s="42" t="n">
        <f aca="false">IF(N(Tasks[[#This Row],[_Pred3UID]])=0,0,IFERROR(MATCH(Tasks[[#This Row],[_Pred3UID]],Tasks[UID],0),-1))</f>
        <v>0</v>
      </c>
      <c r="CE46" s="42" t="n">
        <f aca="false">IF(N(Tasks[[#This Row],[_Pred4UID]])=0,0,IFERROR(MATCH(Tasks[[#This Row],[_Pred4UID]],Tasks[UID],0),-1))</f>
        <v>0</v>
      </c>
      <c r="CF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6" s="89" t="n">
        <f aca="false">IF(OR(Tasks[[#This Row],[_ConstraintCode]]=2,Tasks[[#This Row],[_ConstraintCode]]=3,Tasks[[#This Row],[_ConstraintCode]]=4,Tasks[[#This Row],[_ConstraintCode]]=6),Tasks[[#This Row],[_ConstraintStart]],0)</f>
        <v>0</v>
      </c>
      <c r="CI46" s="89" t="n">
        <f aca="false">IF(OR(Tasks[[#This Row],[_ConstraintCode]]=2,Tasks[[#This Row],[_ConstraintCode]]=3,Tasks[[#This Row],[_ConstraintCode]]=5,Tasks[[#This Row],[_ConstraintCode]]=7),Tasks[[#This Row],[_ConstraintStart]],2958465)</f>
        <v>2958465</v>
      </c>
      <c r="CJ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6" s="89" t="str">
        <f aca="false">IF(NOT(Tasks[[#This Row],[_IsLeaf]]=1),"",IF(N(Tasks[[#This Row],[_Days]])&lt;=0,Tasks[[#This Row],[_LeafCalcStart]],WORKDAY.INTL(Tasks[[#This Row],[_LeafCalcStart]],Tasks[[#This Row],[_Days]]-1,WorkWeek,Holidays)))</f>
        <v/>
      </c>
      <c r="CL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6" s="42" t="str">
        <f aca="false">IF(Tasks[[#This Row],[_Predecessors]]="","",TRIM(MID(SUBSTITUTE(SUBSTITUTE(SUBSTITUTE(UPPER(Tasks[[#This Row],[_Predecessors]]),";",",")," ",""),",",REPT(" ",99)),1,99)))</f>
        <v/>
      </c>
      <c r="CO46" s="42" t="str">
        <f aca="false">IF(Tasks[[#This Row],[_Pred1Text]]="","",IFERROR(VALUE(LEFT(Tasks[[#This Row],[_Pred1Text]],MIN(FIND("F",Tasks[[#This Row],[_Pred1Text]]&amp;"F"),FIND("S",Tasks[[#This Row],[_Pred1Text]]&amp;"S"),FIND("+",Tasks[[#This Row],[_Pred1Text]]&amp;"+"),FIND("-",Tasks[[#This Row],[_Pred1Text]]&amp;"-"))-1)),""))</f>
        <v/>
      </c>
      <c r="CP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6" s="42" t="str">
        <f aca="false">IF(Tasks[[#This Row],[_Pred1Text]]="","",TRIM(MID(SUBSTITUTE(SUBSTITUTE(SUBSTITUTE(UPPER(Tasks[[#This Row],[_Predecessors]]),";",",")," ",""),",",REPT(" ",99)),100,99)))</f>
        <v/>
      </c>
      <c r="CS46" s="42" t="str">
        <f aca="false">IF(Tasks[[#This Row],[_Pred2Text]]="","",IFERROR(VALUE(LEFT(Tasks[[#This Row],[_Pred2Text]],MIN(FIND("F",Tasks[[#This Row],[_Pred2Text]]&amp;"F"),FIND("S",Tasks[[#This Row],[_Pred2Text]]&amp;"S"),FIND("+",Tasks[[#This Row],[_Pred2Text]]&amp;"+"),FIND("-",Tasks[[#This Row],[_Pred2Text]]&amp;"-"))-1)),""))</f>
        <v/>
      </c>
      <c r="CT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6" s="42" t="str">
        <f aca="false">IF(Tasks[[#This Row],[_Pred2Text]]="","",TRIM(MID(SUBSTITUTE(SUBSTITUTE(SUBSTITUTE(UPPER(Tasks[[#This Row],[_Predecessors]]),";",",")," ",""),",",REPT(" ",99)),199,99)))</f>
        <v/>
      </c>
      <c r="CW46" s="42" t="str">
        <f aca="false">IF(Tasks[[#This Row],[_Pred3Text]]="","",IFERROR(VALUE(LEFT(Tasks[[#This Row],[_Pred3Text]],MIN(FIND("F",Tasks[[#This Row],[_Pred3Text]]&amp;"F"),FIND("S",Tasks[[#This Row],[_Pred3Text]]&amp;"S"),FIND("+",Tasks[[#This Row],[_Pred3Text]]&amp;"+"),FIND("-",Tasks[[#This Row],[_Pred3Text]]&amp;"-"))-1)),""))</f>
        <v/>
      </c>
      <c r="CX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6" s="42" t="str">
        <f aca="false">IF(Tasks[[#This Row],[_Pred3Text]]="","",TRIM(MID(SUBSTITUTE(SUBSTITUTE(SUBSTITUTE(UPPER(Tasks[[#This Row],[_Predecessors]]),";",",")," ",""),",",REPT(" ",99)),298,99)))</f>
        <v/>
      </c>
      <c r="DA46" s="42" t="str">
        <f aca="false">IF(Tasks[[#This Row],[_Pred4Text]]="","",IFERROR(VALUE(LEFT(Tasks[[#This Row],[_Pred4Text]],MIN(FIND("F",Tasks[[#This Row],[_Pred4Text]]&amp;"F"),FIND("S",Tasks[[#This Row],[_Pred4Text]]&amp;"S"),FIND("+",Tasks[[#This Row],[_Pred4Text]]&amp;"+"),FIND("-",Tasks[[#This Row],[_Pred4Text]]&amp;"-"))-1)),""))</f>
        <v/>
      </c>
      <c r="DB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6" s="42" t="str">
        <f aca="false">IF(OR(Tasks[[#This Row],[Task Name]]="",Tasks[[#This Row],[_Resources]]=""),"",TRIM(MID(SUBSTITUTE(Tasks[[#This Row],[_Resources]],",",REPT(" ",99)),1,99)))</f>
        <v/>
      </c>
      <c r="DE46" s="42" t="str">
        <f aca="false">IF(Tasks[[#This Row],[_Res1Text]]="","",TRIM(MID(SUBSTITUTE(Tasks[[#This Row],[_Resources]],",",REPT(" ",99)),100,99)))</f>
        <v/>
      </c>
      <c r="DF46" s="42" t="str">
        <f aca="false">IF(Tasks[[#This Row],[_Res2Text]]="","",TRIM(MID(SUBSTITUTE(Tasks[[#This Row],[_Resources]],",",REPT(" ",99)),199,99)))</f>
        <v/>
      </c>
      <c r="DG46" s="42" t="str">
        <f aca="false">IF(Tasks[[#This Row],[_Res3Text]]="","",TRIM(MID(SUBSTITUTE(Tasks[[#This Row],[_Resources]],",",REPT(" ",99)),298,99)))</f>
        <v/>
      </c>
      <c r="DH46" s="42" t="n">
        <f aca="false">IF(Tasks[[#This Row],[_Res1Text]]="",0,IFERROR(MATCH(TRIM(LEFT(Tasks[[#This Row],[_Res1Text]],FIND("[",Tasks[[#This Row],[_Res1Text]]&amp;"[")-1)),res_Name,0),IFERROR(MATCH(TRIM(LEFT(Tasks[[#This Row],[_Res1Text]],FIND("[",Tasks[[#This Row],[_Res1Text]]&amp;"[")-1)),res_Initials,0),0)))</f>
        <v>0</v>
      </c>
      <c r="DI46" s="42" t="n">
        <f aca="false">IF(Tasks[[#This Row],[_Res2Text]]="",0,IFERROR(MATCH(TRIM(LEFT(Tasks[[#This Row],[_Res2Text]],FIND("[",Tasks[[#This Row],[_Res2Text]]&amp;"[")-1)),res_Name,0),IFERROR(MATCH(TRIM(LEFT(Tasks[[#This Row],[_Res2Text]],FIND("[",Tasks[[#This Row],[_Res2Text]]&amp;"[")-1)),res_Initials,0),0)))</f>
        <v>0</v>
      </c>
      <c r="DJ46" s="42" t="n">
        <f aca="false">IF(Tasks[[#This Row],[_Res3Text]]="",0,IFERROR(MATCH(TRIM(LEFT(Tasks[[#This Row],[_Res3Text]],FIND("[",Tasks[[#This Row],[_Res3Text]]&amp;"[")-1)),res_Name,0),IFERROR(MATCH(TRIM(LEFT(Tasks[[#This Row],[_Res3Text]],FIND("[",Tasks[[#This Row],[_Res3Text]]&amp;"[")-1)),res_Initials,0),0)))</f>
        <v>0</v>
      </c>
      <c r="DK46" s="42" t="n">
        <f aca="false">IF(Tasks[[#This Row],[_Res4Text]]="",0,IFERROR(MATCH(TRIM(LEFT(Tasks[[#This Row],[_Res4Text]],FIND("[",Tasks[[#This Row],[_Res4Text]]&amp;"[")-1)),res_Name,0),IFERROR(MATCH(TRIM(LEFT(Tasks[[#This Row],[_Res4Text]],FIND("[",Tasks[[#This Row],[_Res4Text]]&amp;"[")-1)),res_Initials,0),0)))</f>
        <v>0</v>
      </c>
      <c r="DL46" s="42" t="str">
        <f aca="false">IF(Tasks[[#This Row],[_Res1Text]]="","",IF(Tasks[[#This Row],[_Res1Row]]&gt;0,INDEX(res_Name,Tasks[[#This Row],[_Res1Row]]),TRIM(LEFT(Tasks[[#This Row],[_Res1Text]],FIND("[",Tasks[[#This Row],[_Res1Text]]&amp;"[")-1))))</f>
        <v/>
      </c>
      <c r="DM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6" s="42" t="n">
        <f aca="false">IF(NOT(Tasks[[#This Row],[_IsLeaf]]=1),0,(Tasks[[#This Row],[_Resource1]]&lt;&gt;"")+(Tasks[[#This Row],[_Res2]]&lt;&gt;"")+(Tasks[[#This Row],[_Res3]]&lt;&gt;"")+(Tasks[[#This Row],[_Res4]]&lt;&gt;""))</f>
        <v>0</v>
      </c>
      <c r="DO46" s="42" t="str">
        <f aca="false">IF(Tasks[[#This Row],[_Res2Text]]="","",IF(Tasks[[#This Row],[_Res2Row]]&gt;0,INDEX(res_Name,Tasks[[#This Row],[_Res2Row]]),TRIM(LEFT(Tasks[[#This Row],[_Res2Text]],FIND("[",Tasks[[#This Row],[_Res2Text]]&amp;"[")-1))))</f>
        <v/>
      </c>
      <c r="DP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6" s="42" t="n">
        <f aca="false">IF(OR(NOT(Tasks[[#This Row],[_IsLeaf]]=1),Tasks[[#This Row],[_Res2Row]]=0),0,N(Tasks[[#This Row],[_Days]])*HoursPerDay*IF(Tasks[[#This Row],[_Res2Units]]="",DefaultUnits,Tasks[[#This Row],[_Res2Units]]))</f>
        <v>0</v>
      </c>
      <c r="DR46" s="42" t="n">
        <f aca="false">IF(AND(AND(Tasks[[#This Row],[_IsLeaf]]=1,Tasks[[#This Row],[_LeafTotalWork]]&gt;0),Tasks[[#This Row],[_Res2Work]]&gt;0),Tasks[[#This Row],[_Res2Work]]/(Tasks[[#This Row],[_FinishWorkday]]-Tasks[[#This Row],[_StartWorkday]]+1),0)</f>
        <v>0</v>
      </c>
      <c r="DS46" s="42" t="n">
        <f aca="false">Tasks[[#This Row],[_Res2WorkPerWD]]*MAX(0,Tasks[[#This Row],[_StartWorkday]]-1)</f>
        <v>0</v>
      </c>
      <c r="DT46" s="42" t="n">
        <f aca="false">Tasks[[#This Row],[_Res2Work]]*Tasks[[#This Row],[_LeafProgress]]</f>
        <v>0</v>
      </c>
      <c r="DU46" s="42" t="str">
        <f aca="false">IF(Tasks[[#This Row],[_Res3Text]]="","",IF(Tasks[[#This Row],[_Res3Row]]&gt;0,INDEX(res_Name,Tasks[[#This Row],[_Res3Row]]),TRIM(LEFT(Tasks[[#This Row],[_Res3Text]],FIND("[",Tasks[[#This Row],[_Res3Text]]&amp;"[")-1))))</f>
        <v/>
      </c>
      <c r="DV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6" s="42" t="n">
        <f aca="false">IF(OR(NOT(Tasks[[#This Row],[_IsLeaf]]=1),Tasks[[#This Row],[_Res3Row]]=0),0,N(Tasks[[#This Row],[_Days]])*HoursPerDay*IF(Tasks[[#This Row],[_Res3Units]]="",DefaultUnits,Tasks[[#This Row],[_Res3Units]]))</f>
        <v>0</v>
      </c>
      <c r="DX46" s="42" t="n">
        <f aca="false">IF(AND(AND(Tasks[[#This Row],[_IsLeaf]]=1,Tasks[[#This Row],[_LeafTotalWork]]&gt;0),Tasks[[#This Row],[_Res3Work]]&gt;0),Tasks[[#This Row],[_Res3Work]]/(Tasks[[#This Row],[_FinishWorkday]]-Tasks[[#This Row],[_StartWorkday]]+1),0)</f>
        <v>0</v>
      </c>
      <c r="DY46" s="42" t="n">
        <f aca="false">Tasks[[#This Row],[_Res3WorkPerWD]]*MAX(0,Tasks[[#This Row],[_StartWorkday]]-1)</f>
        <v>0</v>
      </c>
      <c r="DZ46" s="42" t="n">
        <f aca="false">Tasks[[#This Row],[_Res3Work]]*Tasks[[#This Row],[_LeafProgress]]</f>
        <v>0</v>
      </c>
      <c r="EA46" s="42" t="str">
        <f aca="false">IF(Tasks[[#This Row],[_Res4Text]]="","",IF(Tasks[[#This Row],[_Res4Row]]&gt;0,INDEX(res_Name,Tasks[[#This Row],[_Res4Row]]),TRIM(LEFT(Tasks[[#This Row],[_Res4Text]],FIND("[",Tasks[[#This Row],[_Res4Text]]&amp;"[")-1))))</f>
        <v/>
      </c>
      <c r="EB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6" s="42" t="n">
        <f aca="false">IF(OR(NOT(Tasks[[#This Row],[_IsLeaf]]=1),Tasks[[#This Row],[_Res4Row]]=0),0,N(Tasks[[#This Row],[_Days]])*HoursPerDay*IF(Tasks[[#This Row],[_Res4Units]]="",DefaultUnits,Tasks[[#This Row],[_Res4Units]]))</f>
        <v>0</v>
      </c>
      <c r="ED46" s="42" t="n">
        <f aca="false">IF(AND(AND(Tasks[[#This Row],[_IsLeaf]]=1,Tasks[[#This Row],[_LeafTotalWork]]&gt;0),Tasks[[#This Row],[_Res4Work]]&gt;0),Tasks[[#This Row],[_Res4Work]]/(Tasks[[#This Row],[_FinishWorkday]]-Tasks[[#This Row],[_StartWorkday]]+1),0)</f>
        <v>0</v>
      </c>
      <c r="EE46" s="42" t="n">
        <f aca="false">Tasks[[#This Row],[_Res4WorkPerWD]]*MAX(0,Tasks[[#This Row],[_StartWorkday]]-1)</f>
        <v>0</v>
      </c>
      <c r="EF46" s="42" t="n">
        <f aca="false">Tasks[[#This Row],[_Res4Work]]*Tasks[[#This Row],[_LeafProgress]]</f>
        <v>0</v>
      </c>
      <c r="EG46" s="42" t="n">
        <f aca="false">IF(ISNUMBER(Tasks[[#This Row],[% Complete]]),Tasks[[#This Row],[% Complete]],IF(Tasks[[#This Row],[Stage]]="",0,IFERROR(INDEX(stg_Pct,MATCH(Tasks[[#This Row],[Stage]],stg_Name,0)),0)))</f>
        <v>0</v>
      </c>
      <c r="EH46" s="42" t="n">
        <f aca="false">IF(NOT(Tasks[[#This Row],[_IsLeaf]]=1),0,IF(N(Tasks[[#This Row],[Actual Finish]])&gt;0,1,MIN(1,Tasks[[#This Row],[_Pct]])))</f>
        <v>0</v>
      </c>
      <c r="EI46" s="42" t="n">
        <f aca="false">IF(OR(NOT(Tasks[[#This Row],[_IsLeaf]]=1),Tasks[[#This Row],[_Res1Row]]=0),0,N(Tasks[[#This Row],[_Days]])*HoursPerDay*IF(Tasks[[#This Row],[_Units1]]="",DefaultUnits,Tasks[[#This Row],[_Units1]]))</f>
        <v>0</v>
      </c>
      <c r="EJ46" s="42" t="n">
        <f aca="false">Tasks[[#This Row],[_LeafWork]]+Tasks[[#This Row],[_Res2Work]]+Tasks[[#This Row],[_Res3Work]]+Tasks[[#This Row],[_Res4Work]]</f>
        <v>0</v>
      </c>
      <c r="EK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6" s="42" t="n">
        <f aca="false">IF(NOT(Tasks[[#This Row],[_IsLeaf]]=1),0,MAX(_xlfn.MAXIFS(Tasks[_Row],Tasks[_Pred1UID],Tasks[[#This Row],[UID]]),_xlfn.MAXIFS(Tasks[_Row],Tasks[_Pred2UID],Tasks[[#This Row],[UID]]),_xlfn.MAXIFS(Tasks[_Row],Tasks[_Pred3UID],Tasks[[#This Row],[UID]]),_xlfn.MAXIFS(Tasks[_Row],Tasks[_Pred4UID],Tasks[[#This Row],[UID]])))</f>
        <v>0</v>
      </c>
      <c r="ET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6" s="89" t="str">
        <f aca="false">IF(NOT(Tasks[[#This Row],[_IsLeaf]]=1),"",IF(N(Tasks[[#This Row],[_Days]])&lt;=0,Tasks[[#This Row],[_LeafLateFinish]],WORKDAY.INTL(Tasks[[#This Row],[_LeafLateFinish]],-(Tasks[[#This Row],[_Days]]-1),WorkWeek,Holidays)))</f>
        <v/>
      </c>
      <c r="EW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6" s="88" t="b">
        <f aca="false">AND(Tasks[[#This Row],[_IsLeaf]]=1,Tasks[[#This Row],[_LeafProgress]]&lt;1,N(Tasks[[#This Row],[_LeafTotalSlack]])&lt;=CriticalSlackDays)</f>
        <v>0</v>
      </c>
      <c r="EY46" s="42" t="n">
        <f aca="false">IF(AND(Tasks[[#This Row],[_IsLeaf]]=1,Tasks[[#This Row],[_ConstraintCode]]=1,Tasks[[#This Row],[Mode]]&lt;&gt;"Manual",N(Tasks[[#This Row],[Actual Start]])=0),MAX(0,N(Tasks[[#This Row],[Free Slack]])),0)</f>
        <v>0</v>
      </c>
      <c r="EZ46" s="89" t="str">
        <f aca="false">IF(NOT(Tasks[[#This Row],[_IsLeaf]]=1),"",IF(Tasks[[#This Row],[_AlapShift]]=0,Tasks[[#This Row],[_LeafCalcStart]],WORKDAY.INTL(Tasks[[#This Row],[_LeafCalcStart]],Tasks[[#This Row],[_AlapShift]],WorkWeek,Holidays)))</f>
        <v/>
      </c>
      <c r="FA46" s="89" t="str">
        <f aca="false">IF(NOT(Tasks[[#This Row],[_IsLeaf]]=1),"",IF(Tasks[[#This Row],[_AlapShift]]=0,Tasks[[#This Row],[_LeafCalcFinish]],WORKDAY.INTL(Tasks[[#This Row],[_LeafCalcFinish]],Tasks[[#This Row],[_AlapShift]],WorkWeek,Holidays)))</f>
        <v/>
      </c>
      <c r="FB46" s="89" t="str">
        <f aca="false">IF(NOT(Tasks[[#This Row],[_IsLeaf]]=1),"",IF(Tasks[[#This Row],[_AlapShift]]=0,Tasks[[#This Row],[_LeafFcstStart]],WORKDAY.INTL(Tasks[[#This Row],[_LeafFcstStart]],Tasks[[#This Row],[_AlapShift]],WorkWeek,Holidays)))</f>
        <v/>
      </c>
      <c r="FC46" s="89" t="str">
        <f aca="false">IF(NOT(Tasks[[#This Row],[_IsLeaf]]=1),"",IF(Tasks[[#This Row],[_AlapShift]]=0,Tasks[[#This Row],[_LeafFcstFinish]],WORKDAY.INTL(Tasks[[#This Row],[_LeafFcstFinish]],Tasks[[#This Row],[_AlapShift]],WorkWeek,Holidays)))</f>
        <v/>
      </c>
      <c r="FD46" s="89" t="str">
        <f aca="false">IF(Tasks[[#This Row],[Task Name]]="","",IF(Tasks[[#This Row],[_IsSummary]],MIN(INDEX(Tasks[_ShownCalcStart],Tasks[[#This Row],[_Row]]+1):INDEX(Tasks[_ShownCalcStart],Tasks[[#This Row],[_Row]]+Tasks[[#This Row],[_Descendants]])),Tasks[[#This Row],[_ShownCalcStart]]))</f>
        <v/>
      </c>
      <c r="FE46" s="89" t="str">
        <f aca="false">IF(Tasks[[#This Row],[Task Name]]="","",IF(Tasks[[#This Row],[_IsSummary]],MAX(INDEX(Tasks[_ShownCalcFinish],Tasks[[#This Row],[_Row]]+1):INDEX(Tasks[_ShownCalcFinish],Tasks[[#This Row],[_Row]]+Tasks[[#This Row],[_Descendants]])),Tasks[[#This Row],[_ShownCalcFinish]]))</f>
        <v/>
      </c>
      <c r="FF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6" s="42" t="n">
        <f aca="false">IF(AND(Tasks[[#This Row],[_IsLeaf]]=1,Tasks[[#This Row],[_LeafTotalWork]]&gt;0),NETWORKDAYS.INTL(ProjectStart,Tasks[[#This Row],[_ShownFcstStart]],WorkWeek,Holidays),0)</f>
        <v>0</v>
      </c>
      <c r="FS46" s="42" t="n">
        <f aca="false">IF(AND(Tasks[[#This Row],[_IsLeaf]]=1,Tasks[[#This Row],[_LeafTotalWork]]&gt;0),MAX(Tasks[[#This Row],[_StartWorkday]],NETWORKDAYS.INTL(ProjectStart,Tasks[[#This Row],[_ShownFcstFinish]],WorkWeek,Holidays)),0)</f>
        <v>0</v>
      </c>
      <c r="FT46" s="42" t="n">
        <f aca="false">IF(AND(Tasks[[#This Row],[_IsLeaf]]=1,Tasks[[#This Row],[_LeafTotalWork]]&gt;0),Tasks[[#This Row],[_LeafWork]]/(Tasks[[#This Row],[_FinishWorkday]]-Tasks[[#This Row],[_StartWorkday]]+1),0)</f>
        <v>0</v>
      </c>
      <c r="FU46" s="42" t="n">
        <f aca="false">Tasks[[#This Row],[_WorkPerWorkday]]*(Tasks[[#This Row],[_StartWorkday]]-1)</f>
        <v>-0</v>
      </c>
      <c r="FV46" s="42" t="n">
        <f aca="false">IF(Tasks[[#This Row],[_IsLeaf]]=1,MAX(N(Tasks[[#This Row],[_Days]]),0.1),0)</f>
        <v>0</v>
      </c>
      <c r="FW46" s="42" t="n">
        <f aca="false">Tasks[[#This Row],[_WeightDur]]*Tasks[[#This Row],[_LeafProgress]]</f>
        <v>0</v>
      </c>
      <c r="FX46" s="42" t="n">
        <f aca="false">Tasks[[#This Row],[_WeightDur]]*Tasks[[#This Row],[_PlannedPct]]</f>
        <v>0</v>
      </c>
      <c r="FY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6" s="42" t="str">
        <f aca="false">IF(AND(Tasks[[#This Row],[_IsLeaf]]=1,N(Tasks[[#This Row],[_Days]])=0,Tasks[[#This Row],[_LeafProgress]]&lt;1),Tasks[[#This Row],[_ShownFcstFinish]]+Tasks[[#This Row],[_Row]]/100000,"")</f>
        <v/>
      </c>
      <c r="GA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6" s="42" t="str">
        <f aca="false">IF(Tasks[[#This Row],[Task Name]]="","",LEFT(Tasks[[#This Row],[WBS]],FIND(".",Tasks[[#This Row],[WBS]]&amp;".")-1))</f>
        <v/>
      </c>
      <c r="GC46" s="42" t="str">
        <f aca="false">IF(AND(Tasks[[#This Row],[Task Name]]&lt;&gt;"",Tasks[[#This Row],[_Level]]=1),Tasks[[#This Row],[_Row]],"")</f>
        <v/>
      </c>
      <c r="GD46" s="42" t="str">
        <f aca="false">IF(AND(Tasks[[#This Row],[_IsLeaf]]=1,N(Tasks[[#This Row],[_Days]])=0),Tasks[[#This Row],[Planned Finish]]+Tasks[[#This Row],[_Row]]/100000,"")</f>
        <v/>
      </c>
      <c r="GE46" s="42" t="str">
        <f aca="false">IF(AND(Tasks[[#This Row],[_IsLeaf]]=1,Tasks[[#This Row],[_LeafProgress]]&lt;1,OR(N(Tasks[[#This Row],[Finish Var]])&gt;0,Tasks[[#This Row],[Status]]="Late Start")),MAX(0,Tasks[[#This Row],[Finish Var]])+1-Tasks[[#This Row],[_Row]]/1000000,"")</f>
        <v/>
      </c>
      <c r="GF46" s="42" t="str">
        <f aca="false">IF(AND(Tasks[[#This Row],[_IsLeaf]]=1,N(Tasks[[#This Row],[Actual Start]])=0,Tasks[[#This Row],[_ShownFcstStart]]&gt;=StatusDate,Tasks[[#This Row],[_ShownFcstStart]]&lt;=LookaheadEnd),Tasks[[#This Row],[_ShownFcstStart]]+Tasks[[#This Row],[_Row]]/100000,"")</f>
        <v/>
      </c>
      <c r="GG46" s="42" t="str">
        <f aca="false">IF(AND(Tasks[[#This Row],[_IsLeaf]]=1,Tasks[[#This Row],[_LeafProgress]]&lt;1,Tasks[[#This Row],[_ShownFcstFinish]]&gt;=StatusDate,Tasks[[#This Row],[_ShownFcstFinish]]&lt;=LookaheadEnd),Tasks[[#This Row],[_ShownFcstFinish]]+Tasks[[#This Row],[_Row]]/100000,"")</f>
        <v/>
      </c>
      <c r="GH46" s="42" t="str">
        <f aca="false">IF(Tasks[[#This Row],[_LeafCritical]],Tasks[[#This Row],[_ShownFcstStart]]+Tasks[[#This Row],[_Row]]/100000,"")</f>
        <v/>
      </c>
      <c r="GI46" s="42" t="n">
        <f aca="false">Tasks[[#This Row],[_LeafWork]]*Tasks[[#This Row],[_LeafProgress]]</f>
        <v>0</v>
      </c>
      <c r="GJ46" s="89" t="str">
        <f aca="false">IF(AND(Tasks[[#This Row],[_IsLeaf]]=1,Tasks[[#This Row],[_LeafProgress]]&gt;=1),IF(N(Tasks[[#This Row],[Actual Finish]])&gt;0,Tasks[[#This Row],[Actual Finish]],Tasks[[#This Row],[_ShownFcstFinish]]),"")</f>
        <v/>
      </c>
      <c r="GK46" s="42" t="n">
        <f aca="false">IF(Tasks[[#This Row],[_IsLeaf]]=1,N(Tasks[[#This Row],[Story Points]]),0)</f>
        <v>0</v>
      </c>
      <c r="GL46" s="42" t="str">
        <f aca="false">""</f>
        <v/>
      </c>
      <c r="GM46" s="88" t="b">
        <f aca="false">IF(Tasks[[#This Row],[Task Name]]="",FALSE(),AND(Tasks[[#This Row],[_IsLeaf]]=1,N(Tasks[[#This Row],[_Days]])=0))</f>
        <v>0</v>
      </c>
      <c r="GN46" s="89" t="n">
        <f aca="false">IF(Tasks[[#This Row],[Task Name]]="",0,IF(AND(Tasks[[#This Row],[_IsLeaf]]=1,NOT(Tasks[[#This Row],[_IsMilestone]]),N(Tasks[[#This Row],[Progress]])&gt;0),Tasks[[#This Row],[Start]],0))</f>
        <v>0</v>
      </c>
      <c r="GO46" s="89" t="n">
        <f aca="false">IF(Tasks[[#This Row],[_DoneFrom]]=0,0,IF(Tasks[[#This Row],[Progress]]&gt;=1,Tasks[[#This Row],[Finish]],MAX(Tasks[[#This Row],[_DoneFrom]],Tasks[[#This Row],[Start]]+ROUND((Tasks[[#This Row],[Finish]]-Tasks[[#This Row],[Start]]+1)*Tasks[[#This Row],[Progress]],0)-1)))</f>
        <v>0</v>
      </c>
      <c r="GP46" s="89" t="n">
        <f aca="false">IF(Tasks[[#This Row],[Task Name]]="",0,IF(OR(NOT(Tasks[[#This Row],[_IsLeaf]]=1),Tasks[[#This Row],[_IsMilestone]],N(Tasks[[#This Row],[Progress]])&gt;=1),0,IF(Tasks[[#This Row],[_DoneTo]]&gt;0,Tasks[[#This Row],[_DoneTo]]+1,Tasks[[#This Row],[Start]])))</f>
        <v>0</v>
      </c>
      <c r="GQ46" s="89" t="n">
        <f aca="false">IF(Tasks[[#This Row],[_RemFrom]]=0,0,Tasks[[#This Row],[Finish]])</f>
        <v>0</v>
      </c>
      <c r="GR46" s="88" t="b">
        <f aca="false">IF(Tasks[[#This Row],[Task Name]]="",FALSE(),OR(NOT(BaselineSet),N(Tasks[[#This Row],[Baseline Start]])&gt;0))</f>
        <v>0</v>
      </c>
      <c r="GS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6" s="90" t="str">
        <f aca="false">IF(Tasks[[#This Row],[_IsLeaf]]=1,Tasks[[#This Row],[_Row]],"")</f>
        <v/>
      </c>
      <c r="GW46" s="90" t="str">
        <f aca="false">IFERROR(INDEX(Tasks[UID],SMALL(Tasks[_PickKey],Tasks[[#This Row],[_Row]]))&amp;" "&amp;INDEX(Tasks[Task Name],SMALL(Tasks[_PickKey],Tasks[[#This Row],[_Row]])),"")</f>
        <v/>
      </c>
      <c r="GX46" s="42" t="str">
        <f aca="false">IF(Tasks[[#This Row],[Task Name]]="","",IF(Tasks[[#This Row],[_IsSummary]],NETWORKDAYS.INTL(Tasks[[#This Row],[Start]],Tasks[[#This Row],[Finish]],WorkWeek,Holidays),N(Tasks[[#This Row],[_Days]])))</f>
        <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3"/>
      <c r="U47" s="23"/>
      <c r="V47" s="83"/>
      <c r="W47" s="23"/>
      <c r="X47" s="83"/>
      <c r="Y47" s="23"/>
      <c r="Z47" s="83"/>
      <c r="AA47" s="23"/>
      <c r="AB47" s="23"/>
      <c r="AC47" s="7"/>
      <c r="AD47" s="7"/>
      <c r="AE47" s="62" t="str">
        <f aca="false">IF(Tasks[[#This Row],[Task Name]]="","",IF(Tasks[[#This Row],[_IsSummary]],MIN(INDEX(Tasks[_ShownFcstStart],Tasks[[#This Row],[_Row]]+1):INDEX(Tasks[_ShownFcstStart],Tasks[[#This Row],[_Row]]+Tasks[[#This Row],[_Descendants]])),Tasks[[#This Row],[_ShownFcstStart]]))</f>
        <v/>
      </c>
      <c r="AF47" s="62"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7" s="7"/>
      <c r="AK47" s="22"/>
      <c r="AL47" s="23"/>
      <c r="AM47" s="7"/>
      <c r="AN47" s="46"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2" t="str">
        <f aca="false">IF(Tasks[[#This Row],[Task Name]]="","",IF(N(Tasks[[#This Row],[Baseline Start]])&gt;0,Tasks[[#This Row],[Baseline Start]],Tasks[[#This Row],[_CalcStart]]))</f>
        <v/>
      </c>
      <c r="AR47" s="62" t="str">
        <f aca="false">IF(Tasks[[#This Row],[Task Name]]="","",IF(N(Tasks[[#This Row],[Baseline Finish]])&gt;0,Tasks[[#This Row],[Baseline Finish]],Tasks[[#This Row],[_CalcFinish]]))</f>
        <v/>
      </c>
      <c r="AS47" s="46" t="str">
        <f aca="false">IF(Tasks[[#This Row],[Task Name]]="","",IF(Tasks[[#This Row],[Start]]&gt;=Tasks[[#This Row],[Planned Start]],NETWORKDAYS.INTL(Tasks[[#This Row],[Planned Start]],Tasks[[#This Row],[Start]],WorkWeek,Holidays)-1,1-NETWORKDAYS.INTL(Tasks[[#This Row],[Start]],Tasks[[#This Row],[Planned Start]],WorkWeek,Holidays)))</f>
        <v/>
      </c>
      <c r="AT47" s="62" t="str">
        <f aca="false">IF(Tasks[[#This Row],[Task Name]]="","",IF(Tasks[[#This Row],[_IsSummary]],MIN(INDEX(Tasks[_LeafLateStart],Tasks[[#This Row],[_Row]]+1):INDEX(Tasks[_LeafLateStart],Tasks[[#This Row],[_Row]]+Tasks[[#This Row],[_Descendants]])),Tasks[[#This Row],[_LeafLateStart]]))</f>
        <v/>
      </c>
      <c r="AU47" s="62" t="str">
        <f aca="false">IF(Tasks[[#This Row],[Task Name]]="","",IF(Tasks[[#This Row],[_IsSummary]],MAX(INDEX(Tasks[_LeafLateFinish],Tasks[[#This Row],[_Row]]+1):INDEX(Tasks[_LeafLateFinish],Tasks[[#This Row],[_Row]]+Tasks[[#This Row],[_Descendants]])),Tasks[[#This Row],[_LeafLateFinish]]))</f>
        <v/>
      </c>
      <c r="AV47" s="46"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4"/>
      <c r="BA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5"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6"/>
      <c r="BJ47" s="22"/>
      <c r="BK47" s="46" t="str">
        <f aca="false">IF(OR(Tasks[[#This Row],[Task Name]]="",Tasks[[#This Row],[Baseline Duration]]=""),"",Tasks[[#This Row],[_SpanDays]]-N(Tasks[[#This Row],[Baseline Duration]]))</f>
        <v/>
      </c>
      <c r="BL47" s="85" t="str">
        <f aca="false">IF(OR(Tasks[[#This Row],[Task Name]]="",Tasks[[#This Row],[Baseline Work]]=""),"",Tasks[[#This Row],[Work]]-N(Tasks[[#This Row],[Baseline Work]]))</f>
        <v/>
      </c>
      <c r="BM47" s="62" t="str">
        <f aca="false">IF(Tasks[[#This Row],[Task Name]]="","",IF(OR(TakeBaseline="Yes",N(Tasks[[#This Row],[Baseline Start]])=0),Tasks[[#This Row],[Start]],Tasks[[#This Row],[Baseline Start]]))</f>
        <v/>
      </c>
      <c r="BN47" s="62"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5" t="str">
        <f aca="false">IF(Tasks[[#This Row],[Task Name]]="","",IF(OR(TakeBaseline="Yes",N(Tasks[[#This Row],[Baseline Work]])=0),Tasks[[#This Row],[Work]],Tasks[[#This Row],[Baseline Work]]))</f>
        <v/>
      </c>
      <c r="BQ47" s="7"/>
      <c r="BR47" s="7"/>
      <c r="BS47" s="22"/>
      <c r="BT47" s="87"/>
      <c r="BU47" s="42" t="str">
        <f aca="false">IF(Tasks[[#This Row],[Task Name]]="","",MAX(1,N(Tasks[[#This Row],[Level]])))</f>
        <v/>
      </c>
      <c r="BV47" s="42" t="n">
        <f aca="false">ROW()-ROW(Tasks[[#Headers],[ID]])</f>
        <v>42</v>
      </c>
      <c r="BW47" s="42" t="n">
        <f aca="false">IF(OR(Tasks[[#This Row],[Task Name]]="",Tasks[[#This Row],[_Level]]&lt;=1),0,IFERROR(LOOKUP(2,1/(Tasks[[#Headers],[_Level]]:Tasks[[#This Row],[_Level]]=Tasks[[#This Row],[_Level]]-1),ROW(Tasks[[#Headers],[_Level]]:Tasks[[#This Row],[_Level]])),0))</f>
        <v>0</v>
      </c>
      <c r="BX47" s="42" t="n">
        <f aca="false">IFERROR(N(INDEX(Tasks[_Level],Tasks[[#This Row],[_Row]]+1)),0)</f>
        <v>0</v>
      </c>
      <c r="BY47" s="88" t="b">
        <f aca="false">AND(Tasks[[#This Row],[Task Name]]&lt;&gt;"",Tasks[[#This Row],[_NextLevel]]&gt;Tasks[[#This Row],[_Level]])</f>
        <v>0</v>
      </c>
      <c r="BZ47" s="42" t="n">
        <f aca="false">IF(Tasks[[#This Row],[_IsSummary]],COUNTIF(Tasks[WBS],Tasks[[#This Row],[WBS]]&amp;".*"),0)</f>
        <v>0</v>
      </c>
      <c r="CA47" s="42" t="n">
        <f aca="false">IF(AND(Tasks[[#This Row],[Task Name]]&lt;&gt;"",NOT(Tasks[[#This Row],[_IsSummary]])),1,0)</f>
        <v>0</v>
      </c>
      <c r="CB47" s="42" t="n">
        <f aca="false">IF(N(Tasks[[#This Row],[_Pred1UID]])=0,0,IFERROR(MATCH(Tasks[[#This Row],[_Pred1UID]],Tasks[UID],0),-1))</f>
        <v>0</v>
      </c>
      <c r="CC47" s="42" t="n">
        <f aca="false">IF(N(Tasks[[#This Row],[_Pred2UID]])=0,0,IFERROR(MATCH(Tasks[[#This Row],[_Pred2UID]],Tasks[UID],0),-1))</f>
        <v>0</v>
      </c>
      <c r="CD47" s="42" t="n">
        <f aca="false">IF(N(Tasks[[#This Row],[_Pred3UID]])=0,0,IFERROR(MATCH(Tasks[[#This Row],[_Pred3UID]],Tasks[UID],0),-1))</f>
        <v>0</v>
      </c>
      <c r="CE47" s="42" t="n">
        <f aca="false">IF(N(Tasks[[#This Row],[_Pred4UID]])=0,0,IFERROR(MATCH(Tasks[[#This Row],[_Pred4UID]],Tasks[UID],0),-1))</f>
        <v>0</v>
      </c>
      <c r="CF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7" s="89" t="n">
        <f aca="false">IF(OR(Tasks[[#This Row],[_ConstraintCode]]=2,Tasks[[#This Row],[_ConstraintCode]]=3,Tasks[[#This Row],[_ConstraintCode]]=4,Tasks[[#This Row],[_ConstraintCode]]=6),Tasks[[#This Row],[_ConstraintStart]],0)</f>
        <v>0</v>
      </c>
      <c r="CI47" s="89" t="n">
        <f aca="false">IF(OR(Tasks[[#This Row],[_ConstraintCode]]=2,Tasks[[#This Row],[_ConstraintCode]]=3,Tasks[[#This Row],[_ConstraintCode]]=5,Tasks[[#This Row],[_ConstraintCode]]=7),Tasks[[#This Row],[_ConstraintStart]],2958465)</f>
        <v>2958465</v>
      </c>
      <c r="CJ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7" s="89" t="str">
        <f aca="false">IF(NOT(Tasks[[#This Row],[_IsLeaf]]=1),"",IF(N(Tasks[[#This Row],[_Days]])&lt;=0,Tasks[[#This Row],[_LeafCalcStart]],WORKDAY.INTL(Tasks[[#This Row],[_LeafCalcStart]],Tasks[[#This Row],[_Days]]-1,WorkWeek,Holidays)))</f>
        <v/>
      </c>
      <c r="CL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7" s="42" t="str">
        <f aca="false">IF(Tasks[[#This Row],[_Predecessors]]="","",TRIM(MID(SUBSTITUTE(SUBSTITUTE(SUBSTITUTE(UPPER(Tasks[[#This Row],[_Predecessors]]),";",",")," ",""),",",REPT(" ",99)),1,99)))</f>
        <v/>
      </c>
      <c r="CO47" s="42" t="str">
        <f aca="false">IF(Tasks[[#This Row],[_Pred1Text]]="","",IFERROR(VALUE(LEFT(Tasks[[#This Row],[_Pred1Text]],MIN(FIND("F",Tasks[[#This Row],[_Pred1Text]]&amp;"F"),FIND("S",Tasks[[#This Row],[_Pred1Text]]&amp;"S"),FIND("+",Tasks[[#This Row],[_Pred1Text]]&amp;"+"),FIND("-",Tasks[[#This Row],[_Pred1Text]]&amp;"-"))-1)),""))</f>
        <v/>
      </c>
      <c r="CP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7" s="42" t="str">
        <f aca="false">IF(Tasks[[#This Row],[_Pred1Text]]="","",TRIM(MID(SUBSTITUTE(SUBSTITUTE(SUBSTITUTE(UPPER(Tasks[[#This Row],[_Predecessors]]),";",",")," ",""),",",REPT(" ",99)),100,99)))</f>
        <v/>
      </c>
      <c r="CS47" s="42" t="str">
        <f aca="false">IF(Tasks[[#This Row],[_Pred2Text]]="","",IFERROR(VALUE(LEFT(Tasks[[#This Row],[_Pred2Text]],MIN(FIND("F",Tasks[[#This Row],[_Pred2Text]]&amp;"F"),FIND("S",Tasks[[#This Row],[_Pred2Text]]&amp;"S"),FIND("+",Tasks[[#This Row],[_Pred2Text]]&amp;"+"),FIND("-",Tasks[[#This Row],[_Pred2Text]]&amp;"-"))-1)),""))</f>
        <v/>
      </c>
      <c r="CT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7" s="42" t="str">
        <f aca="false">IF(Tasks[[#This Row],[_Pred2Text]]="","",TRIM(MID(SUBSTITUTE(SUBSTITUTE(SUBSTITUTE(UPPER(Tasks[[#This Row],[_Predecessors]]),";",",")," ",""),",",REPT(" ",99)),199,99)))</f>
        <v/>
      </c>
      <c r="CW47" s="42" t="str">
        <f aca="false">IF(Tasks[[#This Row],[_Pred3Text]]="","",IFERROR(VALUE(LEFT(Tasks[[#This Row],[_Pred3Text]],MIN(FIND("F",Tasks[[#This Row],[_Pred3Text]]&amp;"F"),FIND("S",Tasks[[#This Row],[_Pred3Text]]&amp;"S"),FIND("+",Tasks[[#This Row],[_Pred3Text]]&amp;"+"),FIND("-",Tasks[[#This Row],[_Pred3Text]]&amp;"-"))-1)),""))</f>
        <v/>
      </c>
      <c r="CX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7" s="42" t="str">
        <f aca="false">IF(Tasks[[#This Row],[_Pred3Text]]="","",TRIM(MID(SUBSTITUTE(SUBSTITUTE(SUBSTITUTE(UPPER(Tasks[[#This Row],[_Predecessors]]),";",",")," ",""),",",REPT(" ",99)),298,99)))</f>
        <v/>
      </c>
      <c r="DA47" s="42" t="str">
        <f aca="false">IF(Tasks[[#This Row],[_Pred4Text]]="","",IFERROR(VALUE(LEFT(Tasks[[#This Row],[_Pred4Text]],MIN(FIND("F",Tasks[[#This Row],[_Pred4Text]]&amp;"F"),FIND("S",Tasks[[#This Row],[_Pred4Text]]&amp;"S"),FIND("+",Tasks[[#This Row],[_Pred4Text]]&amp;"+"),FIND("-",Tasks[[#This Row],[_Pred4Text]]&amp;"-"))-1)),""))</f>
        <v/>
      </c>
      <c r="DB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7" s="42" t="str">
        <f aca="false">IF(OR(Tasks[[#This Row],[Task Name]]="",Tasks[[#This Row],[_Resources]]=""),"",TRIM(MID(SUBSTITUTE(Tasks[[#This Row],[_Resources]],",",REPT(" ",99)),1,99)))</f>
        <v/>
      </c>
      <c r="DE47" s="42" t="str">
        <f aca="false">IF(Tasks[[#This Row],[_Res1Text]]="","",TRIM(MID(SUBSTITUTE(Tasks[[#This Row],[_Resources]],",",REPT(" ",99)),100,99)))</f>
        <v/>
      </c>
      <c r="DF47" s="42" t="str">
        <f aca="false">IF(Tasks[[#This Row],[_Res2Text]]="","",TRIM(MID(SUBSTITUTE(Tasks[[#This Row],[_Resources]],",",REPT(" ",99)),199,99)))</f>
        <v/>
      </c>
      <c r="DG47" s="42" t="str">
        <f aca="false">IF(Tasks[[#This Row],[_Res3Text]]="","",TRIM(MID(SUBSTITUTE(Tasks[[#This Row],[_Resources]],",",REPT(" ",99)),298,99)))</f>
        <v/>
      </c>
      <c r="DH47" s="42" t="n">
        <f aca="false">IF(Tasks[[#This Row],[_Res1Text]]="",0,IFERROR(MATCH(TRIM(LEFT(Tasks[[#This Row],[_Res1Text]],FIND("[",Tasks[[#This Row],[_Res1Text]]&amp;"[")-1)),res_Name,0),IFERROR(MATCH(TRIM(LEFT(Tasks[[#This Row],[_Res1Text]],FIND("[",Tasks[[#This Row],[_Res1Text]]&amp;"[")-1)),res_Initials,0),0)))</f>
        <v>0</v>
      </c>
      <c r="DI47" s="42" t="n">
        <f aca="false">IF(Tasks[[#This Row],[_Res2Text]]="",0,IFERROR(MATCH(TRIM(LEFT(Tasks[[#This Row],[_Res2Text]],FIND("[",Tasks[[#This Row],[_Res2Text]]&amp;"[")-1)),res_Name,0),IFERROR(MATCH(TRIM(LEFT(Tasks[[#This Row],[_Res2Text]],FIND("[",Tasks[[#This Row],[_Res2Text]]&amp;"[")-1)),res_Initials,0),0)))</f>
        <v>0</v>
      </c>
      <c r="DJ47" s="42" t="n">
        <f aca="false">IF(Tasks[[#This Row],[_Res3Text]]="",0,IFERROR(MATCH(TRIM(LEFT(Tasks[[#This Row],[_Res3Text]],FIND("[",Tasks[[#This Row],[_Res3Text]]&amp;"[")-1)),res_Name,0),IFERROR(MATCH(TRIM(LEFT(Tasks[[#This Row],[_Res3Text]],FIND("[",Tasks[[#This Row],[_Res3Text]]&amp;"[")-1)),res_Initials,0),0)))</f>
        <v>0</v>
      </c>
      <c r="DK47" s="42" t="n">
        <f aca="false">IF(Tasks[[#This Row],[_Res4Text]]="",0,IFERROR(MATCH(TRIM(LEFT(Tasks[[#This Row],[_Res4Text]],FIND("[",Tasks[[#This Row],[_Res4Text]]&amp;"[")-1)),res_Name,0),IFERROR(MATCH(TRIM(LEFT(Tasks[[#This Row],[_Res4Text]],FIND("[",Tasks[[#This Row],[_Res4Text]]&amp;"[")-1)),res_Initials,0),0)))</f>
        <v>0</v>
      </c>
      <c r="DL47" s="42" t="str">
        <f aca="false">IF(Tasks[[#This Row],[_Res1Text]]="","",IF(Tasks[[#This Row],[_Res1Row]]&gt;0,INDEX(res_Name,Tasks[[#This Row],[_Res1Row]]),TRIM(LEFT(Tasks[[#This Row],[_Res1Text]],FIND("[",Tasks[[#This Row],[_Res1Text]]&amp;"[")-1))))</f>
        <v/>
      </c>
      <c r="DM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7" s="42" t="n">
        <f aca="false">IF(NOT(Tasks[[#This Row],[_IsLeaf]]=1),0,(Tasks[[#This Row],[_Resource1]]&lt;&gt;"")+(Tasks[[#This Row],[_Res2]]&lt;&gt;"")+(Tasks[[#This Row],[_Res3]]&lt;&gt;"")+(Tasks[[#This Row],[_Res4]]&lt;&gt;""))</f>
        <v>0</v>
      </c>
      <c r="DO47" s="42" t="str">
        <f aca="false">IF(Tasks[[#This Row],[_Res2Text]]="","",IF(Tasks[[#This Row],[_Res2Row]]&gt;0,INDEX(res_Name,Tasks[[#This Row],[_Res2Row]]),TRIM(LEFT(Tasks[[#This Row],[_Res2Text]],FIND("[",Tasks[[#This Row],[_Res2Text]]&amp;"[")-1))))</f>
        <v/>
      </c>
      <c r="DP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7" s="42" t="n">
        <f aca="false">IF(OR(NOT(Tasks[[#This Row],[_IsLeaf]]=1),Tasks[[#This Row],[_Res2Row]]=0),0,N(Tasks[[#This Row],[_Days]])*HoursPerDay*IF(Tasks[[#This Row],[_Res2Units]]="",DefaultUnits,Tasks[[#This Row],[_Res2Units]]))</f>
        <v>0</v>
      </c>
      <c r="DR47" s="42" t="n">
        <f aca="false">IF(AND(AND(Tasks[[#This Row],[_IsLeaf]]=1,Tasks[[#This Row],[_LeafTotalWork]]&gt;0),Tasks[[#This Row],[_Res2Work]]&gt;0),Tasks[[#This Row],[_Res2Work]]/(Tasks[[#This Row],[_FinishWorkday]]-Tasks[[#This Row],[_StartWorkday]]+1),0)</f>
        <v>0</v>
      </c>
      <c r="DS47" s="42" t="n">
        <f aca="false">Tasks[[#This Row],[_Res2WorkPerWD]]*MAX(0,Tasks[[#This Row],[_StartWorkday]]-1)</f>
        <v>0</v>
      </c>
      <c r="DT47" s="42" t="n">
        <f aca="false">Tasks[[#This Row],[_Res2Work]]*Tasks[[#This Row],[_LeafProgress]]</f>
        <v>0</v>
      </c>
      <c r="DU47" s="42" t="str">
        <f aca="false">IF(Tasks[[#This Row],[_Res3Text]]="","",IF(Tasks[[#This Row],[_Res3Row]]&gt;0,INDEX(res_Name,Tasks[[#This Row],[_Res3Row]]),TRIM(LEFT(Tasks[[#This Row],[_Res3Text]],FIND("[",Tasks[[#This Row],[_Res3Text]]&amp;"[")-1))))</f>
        <v/>
      </c>
      <c r="DV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7" s="42" t="n">
        <f aca="false">IF(OR(NOT(Tasks[[#This Row],[_IsLeaf]]=1),Tasks[[#This Row],[_Res3Row]]=0),0,N(Tasks[[#This Row],[_Days]])*HoursPerDay*IF(Tasks[[#This Row],[_Res3Units]]="",DefaultUnits,Tasks[[#This Row],[_Res3Units]]))</f>
        <v>0</v>
      </c>
      <c r="DX47" s="42" t="n">
        <f aca="false">IF(AND(AND(Tasks[[#This Row],[_IsLeaf]]=1,Tasks[[#This Row],[_LeafTotalWork]]&gt;0),Tasks[[#This Row],[_Res3Work]]&gt;0),Tasks[[#This Row],[_Res3Work]]/(Tasks[[#This Row],[_FinishWorkday]]-Tasks[[#This Row],[_StartWorkday]]+1),0)</f>
        <v>0</v>
      </c>
      <c r="DY47" s="42" t="n">
        <f aca="false">Tasks[[#This Row],[_Res3WorkPerWD]]*MAX(0,Tasks[[#This Row],[_StartWorkday]]-1)</f>
        <v>0</v>
      </c>
      <c r="DZ47" s="42" t="n">
        <f aca="false">Tasks[[#This Row],[_Res3Work]]*Tasks[[#This Row],[_LeafProgress]]</f>
        <v>0</v>
      </c>
      <c r="EA47" s="42" t="str">
        <f aca="false">IF(Tasks[[#This Row],[_Res4Text]]="","",IF(Tasks[[#This Row],[_Res4Row]]&gt;0,INDEX(res_Name,Tasks[[#This Row],[_Res4Row]]),TRIM(LEFT(Tasks[[#This Row],[_Res4Text]],FIND("[",Tasks[[#This Row],[_Res4Text]]&amp;"[")-1))))</f>
        <v/>
      </c>
      <c r="EB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7" s="42" t="n">
        <f aca="false">IF(OR(NOT(Tasks[[#This Row],[_IsLeaf]]=1),Tasks[[#This Row],[_Res4Row]]=0),0,N(Tasks[[#This Row],[_Days]])*HoursPerDay*IF(Tasks[[#This Row],[_Res4Units]]="",DefaultUnits,Tasks[[#This Row],[_Res4Units]]))</f>
        <v>0</v>
      </c>
      <c r="ED47" s="42" t="n">
        <f aca="false">IF(AND(AND(Tasks[[#This Row],[_IsLeaf]]=1,Tasks[[#This Row],[_LeafTotalWork]]&gt;0),Tasks[[#This Row],[_Res4Work]]&gt;0),Tasks[[#This Row],[_Res4Work]]/(Tasks[[#This Row],[_FinishWorkday]]-Tasks[[#This Row],[_StartWorkday]]+1),0)</f>
        <v>0</v>
      </c>
      <c r="EE47" s="42" t="n">
        <f aca="false">Tasks[[#This Row],[_Res4WorkPerWD]]*MAX(0,Tasks[[#This Row],[_StartWorkday]]-1)</f>
        <v>0</v>
      </c>
      <c r="EF47" s="42" t="n">
        <f aca="false">Tasks[[#This Row],[_Res4Work]]*Tasks[[#This Row],[_LeafProgress]]</f>
        <v>0</v>
      </c>
      <c r="EG47" s="42" t="n">
        <f aca="false">IF(ISNUMBER(Tasks[[#This Row],[% Complete]]),Tasks[[#This Row],[% Complete]],IF(Tasks[[#This Row],[Stage]]="",0,IFERROR(INDEX(stg_Pct,MATCH(Tasks[[#This Row],[Stage]],stg_Name,0)),0)))</f>
        <v>0</v>
      </c>
      <c r="EH47" s="42" t="n">
        <f aca="false">IF(NOT(Tasks[[#This Row],[_IsLeaf]]=1),0,IF(N(Tasks[[#This Row],[Actual Finish]])&gt;0,1,MIN(1,Tasks[[#This Row],[_Pct]])))</f>
        <v>0</v>
      </c>
      <c r="EI47" s="42" t="n">
        <f aca="false">IF(OR(NOT(Tasks[[#This Row],[_IsLeaf]]=1),Tasks[[#This Row],[_Res1Row]]=0),0,N(Tasks[[#This Row],[_Days]])*HoursPerDay*IF(Tasks[[#This Row],[_Units1]]="",DefaultUnits,Tasks[[#This Row],[_Units1]]))</f>
        <v>0</v>
      </c>
      <c r="EJ47" s="42" t="n">
        <f aca="false">Tasks[[#This Row],[_LeafWork]]+Tasks[[#This Row],[_Res2Work]]+Tasks[[#This Row],[_Res3Work]]+Tasks[[#This Row],[_Res4Work]]</f>
        <v>0</v>
      </c>
      <c r="EK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7" s="42" t="n">
        <f aca="false">IF(NOT(Tasks[[#This Row],[_IsLeaf]]=1),0,MAX(_xlfn.MAXIFS(Tasks[_Row],Tasks[_Pred1UID],Tasks[[#This Row],[UID]]),_xlfn.MAXIFS(Tasks[_Row],Tasks[_Pred2UID],Tasks[[#This Row],[UID]]),_xlfn.MAXIFS(Tasks[_Row],Tasks[_Pred3UID],Tasks[[#This Row],[UID]]),_xlfn.MAXIFS(Tasks[_Row],Tasks[_Pred4UID],Tasks[[#This Row],[UID]])))</f>
        <v>0</v>
      </c>
      <c r="ET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7" s="89" t="str">
        <f aca="false">IF(NOT(Tasks[[#This Row],[_IsLeaf]]=1),"",IF(N(Tasks[[#This Row],[_Days]])&lt;=0,Tasks[[#This Row],[_LeafLateFinish]],WORKDAY.INTL(Tasks[[#This Row],[_LeafLateFinish]],-(Tasks[[#This Row],[_Days]]-1),WorkWeek,Holidays)))</f>
        <v/>
      </c>
      <c r="EW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7" s="88" t="b">
        <f aca="false">AND(Tasks[[#This Row],[_IsLeaf]]=1,Tasks[[#This Row],[_LeafProgress]]&lt;1,N(Tasks[[#This Row],[_LeafTotalSlack]])&lt;=CriticalSlackDays)</f>
        <v>0</v>
      </c>
      <c r="EY47" s="42" t="n">
        <f aca="false">IF(AND(Tasks[[#This Row],[_IsLeaf]]=1,Tasks[[#This Row],[_ConstraintCode]]=1,Tasks[[#This Row],[Mode]]&lt;&gt;"Manual",N(Tasks[[#This Row],[Actual Start]])=0),MAX(0,N(Tasks[[#This Row],[Free Slack]])),0)</f>
        <v>0</v>
      </c>
      <c r="EZ47" s="89" t="str">
        <f aca="false">IF(NOT(Tasks[[#This Row],[_IsLeaf]]=1),"",IF(Tasks[[#This Row],[_AlapShift]]=0,Tasks[[#This Row],[_LeafCalcStart]],WORKDAY.INTL(Tasks[[#This Row],[_LeafCalcStart]],Tasks[[#This Row],[_AlapShift]],WorkWeek,Holidays)))</f>
        <v/>
      </c>
      <c r="FA47" s="89" t="str">
        <f aca="false">IF(NOT(Tasks[[#This Row],[_IsLeaf]]=1),"",IF(Tasks[[#This Row],[_AlapShift]]=0,Tasks[[#This Row],[_LeafCalcFinish]],WORKDAY.INTL(Tasks[[#This Row],[_LeafCalcFinish]],Tasks[[#This Row],[_AlapShift]],WorkWeek,Holidays)))</f>
        <v/>
      </c>
      <c r="FB47" s="89" t="str">
        <f aca="false">IF(NOT(Tasks[[#This Row],[_IsLeaf]]=1),"",IF(Tasks[[#This Row],[_AlapShift]]=0,Tasks[[#This Row],[_LeafFcstStart]],WORKDAY.INTL(Tasks[[#This Row],[_LeafFcstStart]],Tasks[[#This Row],[_AlapShift]],WorkWeek,Holidays)))</f>
        <v/>
      </c>
      <c r="FC47" s="89" t="str">
        <f aca="false">IF(NOT(Tasks[[#This Row],[_IsLeaf]]=1),"",IF(Tasks[[#This Row],[_AlapShift]]=0,Tasks[[#This Row],[_LeafFcstFinish]],WORKDAY.INTL(Tasks[[#This Row],[_LeafFcstFinish]],Tasks[[#This Row],[_AlapShift]],WorkWeek,Holidays)))</f>
        <v/>
      </c>
      <c r="FD47" s="89" t="str">
        <f aca="false">IF(Tasks[[#This Row],[Task Name]]="","",IF(Tasks[[#This Row],[_IsSummary]],MIN(INDEX(Tasks[_ShownCalcStart],Tasks[[#This Row],[_Row]]+1):INDEX(Tasks[_ShownCalcStart],Tasks[[#This Row],[_Row]]+Tasks[[#This Row],[_Descendants]])),Tasks[[#This Row],[_ShownCalcStart]]))</f>
        <v/>
      </c>
      <c r="FE47" s="89" t="str">
        <f aca="false">IF(Tasks[[#This Row],[Task Name]]="","",IF(Tasks[[#This Row],[_IsSummary]],MAX(INDEX(Tasks[_ShownCalcFinish],Tasks[[#This Row],[_Row]]+1):INDEX(Tasks[_ShownCalcFinish],Tasks[[#This Row],[_Row]]+Tasks[[#This Row],[_Descendants]])),Tasks[[#This Row],[_ShownCalcFinish]]))</f>
        <v/>
      </c>
      <c r="FF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7" s="42" t="n">
        <f aca="false">IF(AND(Tasks[[#This Row],[_IsLeaf]]=1,Tasks[[#This Row],[_LeafTotalWork]]&gt;0),NETWORKDAYS.INTL(ProjectStart,Tasks[[#This Row],[_ShownFcstStart]],WorkWeek,Holidays),0)</f>
        <v>0</v>
      </c>
      <c r="FS47" s="42" t="n">
        <f aca="false">IF(AND(Tasks[[#This Row],[_IsLeaf]]=1,Tasks[[#This Row],[_LeafTotalWork]]&gt;0),MAX(Tasks[[#This Row],[_StartWorkday]],NETWORKDAYS.INTL(ProjectStart,Tasks[[#This Row],[_ShownFcstFinish]],WorkWeek,Holidays)),0)</f>
        <v>0</v>
      </c>
      <c r="FT47" s="42" t="n">
        <f aca="false">IF(AND(Tasks[[#This Row],[_IsLeaf]]=1,Tasks[[#This Row],[_LeafTotalWork]]&gt;0),Tasks[[#This Row],[_LeafWork]]/(Tasks[[#This Row],[_FinishWorkday]]-Tasks[[#This Row],[_StartWorkday]]+1),0)</f>
        <v>0</v>
      </c>
      <c r="FU47" s="42" t="n">
        <f aca="false">Tasks[[#This Row],[_WorkPerWorkday]]*(Tasks[[#This Row],[_StartWorkday]]-1)</f>
        <v>-0</v>
      </c>
      <c r="FV47" s="42" t="n">
        <f aca="false">IF(Tasks[[#This Row],[_IsLeaf]]=1,MAX(N(Tasks[[#This Row],[_Days]]),0.1),0)</f>
        <v>0</v>
      </c>
      <c r="FW47" s="42" t="n">
        <f aca="false">Tasks[[#This Row],[_WeightDur]]*Tasks[[#This Row],[_LeafProgress]]</f>
        <v>0</v>
      </c>
      <c r="FX47" s="42" t="n">
        <f aca="false">Tasks[[#This Row],[_WeightDur]]*Tasks[[#This Row],[_PlannedPct]]</f>
        <v>0</v>
      </c>
      <c r="FY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7" s="42" t="str">
        <f aca="false">IF(AND(Tasks[[#This Row],[_IsLeaf]]=1,N(Tasks[[#This Row],[_Days]])=0,Tasks[[#This Row],[_LeafProgress]]&lt;1),Tasks[[#This Row],[_ShownFcstFinish]]+Tasks[[#This Row],[_Row]]/100000,"")</f>
        <v/>
      </c>
      <c r="GA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7" s="42" t="str">
        <f aca="false">IF(Tasks[[#This Row],[Task Name]]="","",LEFT(Tasks[[#This Row],[WBS]],FIND(".",Tasks[[#This Row],[WBS]]&amp;".")-1))</f>
        <v/>
      </c>
      <c r="GC47" s="42" t="str">
        <f aca="false">IF(AND(Tasks[[#This Row],[Task Name]]&lt;&gt;"",Tasks[[#This Row],[_Level]]=1),Tasks[[#This Row],[_Row]],"")</f>
        <v/>
      </c>
      <c r="GD47" s="42" t="str">
        <f aca="false">IF(AND(Tasks[[#This Row],[_IsLeaf]]=1,N(Tasks[[#This Row],[_Days]])=0),Tasks[[#This Row],[Planned Finish]]+Tasks[[#This Row],[_Row]]/100000,"")</f>
        <v/>
      </c>
      <c r="GE47" s="42" t="str">
        <f aca="false">IF(AND(Tasks[[#This Row],[_IsLeaf]]=1,Tasks[[#This Row],[_LeafProgress]]&lt;1,OR(N(Tasks[[#This Row],[Finish Var]])&gt;0,Tasks[[#This Row],[Status]]="Late Start")),MAX(0,Tasks[[#This Row],[Finish Var]])+1-Tasks[[#This Row],[_Row]]/1000000,"")</f>
        <v/>
      </c>
      <c r="GF47" s="42" t="str">
        <f aca="false">IF(AND(Tasks[[#This Row],[_IsLeaf]]=1,N(Tasks[[#This Row],[Actual Start]])=0,Tasks[[#This Row],[_ShownFcstStart]]&gt;=StatusDate,Tasks[[#This Row],[_ShownFcstStart]]&lt;=LookaheadEnd),Tasks[[#This Row],[_ShownFcstStart]]+Tasks[[#This Row],[_Row]]/100000,"")</f>
        <v/>
      </c>
      <c r="GG47" s="42" t="str">
        <f aca="false">IF(AND(Tasks[[#This Row],[_IsLeaf]]=1,Tasks[[#This Row],[_LeafProgress]]&lt;1,Tasks[[#This Row],[_ShownFcstFinish]]&gt;=StatusDate,Tasks[[#This Row],[_ShownFcstFinish]]&lt;=LookaheadEnd),Tasks[[#This Row],[_ShownFcstFinish]]+Tasks[[#This Row],[_Row]]/100000,"")</f>
        <v/>
      </c>
      <c r="GH47" s="42" t="str">
        <f aca="false">IF(Tasks[[#This Row],[_LeafCritical]],Tasks[[#This Row],[_ShownFcstStart]]+Tasks[[#This Row],[_Row]]/100000,"")</f>
        <v/>
      </c>
      <c r="GI47" s="42" t="n">
        <f aca="false">Tasks[[#This Row],[_LeafWork]]*Tasks[[#This Row],[_LeafProgress]]</f>
        <v>0</v>
      </c>
      <c r="GJ47" s="89" t="str">
        <f aca="false">IF(AND(Tasks[[#This Row],[_IsLeaf]]=1,Tasks[[#This Row],[_LeafProgress]]&gt;=1),IF(N(Tasks[[#This Row],[Actual Finish]])&gt;0,Tasks[[#This Row],[Actual Finish]],Tasks[[#This Row],[_ShownFcstFinish]]),"")</f>
        <v/>
      </c>
      <c r="GK47" s="42" t="n">
        <f aca="false">IF(Tasks[[#This Row],[_IsLeaf]]=1,N(Tasks[[#This Row],[Story Points]]),0)</f>
        <v>0</v>
      </c>
      <c r="GL47" s="42" t="str">
        <f aca="false">""</f>
        <v/>
      </c>
      <c r="GM47" s="88" t="b">
        <f aca="false">IF(Tasks[[#This Row],[Task Name]]="",FALSE(),AND(Tasks[[#This Row],[_IsLeaf]]=1,N(Tasks[[#This Row],[_Days]])=0))</f>
        <v>0</v>
      </c>
      <c r="GN47" s="89" t="n">
        <f aca="false">IF(Tasks[[#This Row],[Task Name]]="",0,IF(AND(Tasks[[#This Row],[_IsLeaf]]=1,NOT(Tasks[[#This Row],[_IsMilestone]]),N(Tasks[[#This Row],[Progress]])&gt;0),Tasks[[#This Row],[Start]],0))</f>
        <v>0</v>
      </c>
      <c r="GO47" s="89" t="n">
        <f aca="false">IF(Tasks[[#This Row],[_DoneFrom]]=0,0,IF(Tasks[[#This Row],[Progress]]&gt;=1,Tasks[[#This Row],[Finish]],MAX(Tasks[[#This Row],[_DoneFrom]],Tasks[[#This Row],[Start]]+ROUND((Tasks[[#This Row],[Finish]]-Tasks[[#This Row],[Start]]+1)*Tasks[[#This Row],[Progress]],0)-1)))</f>
        <v>0</v>
      </c>
      <c r="GP47" s="89" t="n">
        <f aca="false">IF(Tasks[[#This Row],[Task Name]]="",0,IF(OR(NOT(Tasks[[#This Row],[_IsLeaf]]=1),Tasks[[#This Row],[_IsMilestone]],N(Tasks[[#This Row],[Progress]])&gt;=1),0,IF(Tasks[[#This Row],[_DoneTo]]&gt;0,Tasks[[#This Row],[_DoneTo]]+1,Tasks[[#This Row],[Start]])))</f>
        <v>0</v>
      </c>
      <c r="GQ47" s="89" t="n">
        <f aca="false">IF(Tasks[[#This Row],[_RemFrom]]=0,0,Tasks[[#This Row],[Finish]])</f>
        <v>0</v>
      </c>
      <c r="GR47" s="88" t="b">
        <f aca="false">IF(Tasks[[#This Row],[Task Name]]="",FALSE(),OR(NOT(BaselineSet),N(Tasks[[#This Row],[Baseline Start]])&gt;0))</f>
        <v>0</v>
      </c>
      <c r="GS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7" s="90" t="str">
        <f aca="false">IF(Tasks[[#This Row],[_IsLeaf]]=1,Tasks[[#This Row],[_Row]],"")</f>
        <v/>
      </c>
      <c r="GW47" s="90" t="str">
        <f aca="false">IFERROR(INDEX(Tasks[UID],SMALL(Tasks[_PickKey],Tasks[[#This Row],[_Row]]))&amp;" "&amp;INDEX(Tasks[Task Name],SMALL(Tasks[_PickKey],Tasks[[#This Row],[_Row]])),"")</f>
        <v/>
      </c>
      <c r="GX47" s="42" t="str">
        <f aca="false">IF(Tasks[[#This Row],[Task Name]]="","",IF(Tasks[[#This Row],[_IsSummary]],NETWORKDAYS.INTL(Tasks[[#This Row],[Start]],Tasks[[#This Row],[Finish]],WorkWeek,Holidays),N(Tasks[[#This Row],[_Days]])))</f>
        <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3"/>
      <c r="U48" s="23"/>
      <c r="V48" s="83"/>
      <c r="W48" s="23"/>
      <c r="X48" s="83"/>
      <c r="Y48" s="23"/>
      <c r="Z48" s="83"/>
      <c r="AA48" s="23"/>
      <c r="AB48" s="23"/>
      <c r="AC48" s="7"/>
      <c r="AD48" s="7"/>
      <c r="AE48" s="62" t="str">
        <f aca="false">IF(Tasks[[#This Row],[Task Name]]="","",IF(Tasks[[#This Row],[_IsSummary]],MIN(INDEX(Tasks[_ShownFcstStart],Tasks[[#This Row],[_Row]]+1):INDEX(Tasks[_ShownFcstStart],Tasks[[#This Row],[_Row]]+Tasks[[#This Row],[_Descendants]])),Tasks[[#This Row],[_ShownFcstStart]]))</f>
        <v/>
      </c>
      <c r="AF48" s="62"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8" s="7"/>
      <c r="AK48" s="22"/>
      <c r="AL48" s="23"/>
      <c r="AM48" s="7"/>
      <c r="AN48" s="46"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2" t="str">
        <f aca="false">IF(Tasks[[#This Row],[Task Name]]="","",IF(N(Tasks[[#This Row],[Baseline Start]])&gt;0,Tasks[[#This Row],[Baseline Start]],Tasks[[#This Row],[_CalcStart]]))</f>
        <v/>
      </c>
      <c r="AR48" s="62" t="str">
        <f aca="false">IF(Tasks[[#This Row],[Task Name]]="","",IF(N(Tasks[[#This Row],[Baseline Finish]])&gt;0,Tasks[[#This Row],[Baseline Finish]],Tasks[[#This Row],[_CalcFinish]]))</f>
        <v/>
      </c>
      <c r="AS48" s="46" t="str">
        <f aca="false">IF(Tasks[[#This Row],[Task Name]]="","",IF(Tasks[[#This Row],[Start]]&gt;=Tasks[[#This Row],[Planned Start]],NETWORKDAYS.INTL(Tasks[[#This Row],[Planned Start]],Tasks[[#This Row],[Start]],WorkWeek,Holidays)-1,1-NETWORKDAYS.INTL(Tasks[[#This Row],[Start]],Tasks[[#This Row],[Planned Start]],WorkWeek,Holidays)))</f>
        <v/>
      </c>
      <c r="AT48" s="62" t="str">
        <f aca="false">IF(Tasks[[#This Row],[Task Name]]="","",IF(Tasks[[#This Row],[_IsSummary]],MIN(INDEX(Tasks[_LeafLateStart],Tasks[[#This Row],[_Row]]+1):INDEX(Tasks[_LeafLateStart],Tasks[[#This Row],[_Row]]+Tasks[[#This Row],[_Descendants]])),Tasks[[#This Row],[_LeafLateStart]]))</f>
        <v/>
      </c>
      <c r="AU48" s="62" t="str">
        <f aca="false">IF(Tasks[[#This Row],[Task Name]]="","",IF(Tasks[[#This Row],[_IsSummary]],MAX(INDEX(Tasks[_LeafLateFinish],Tasks[[#This Row],[_Row]]+1):INDEX(Tasks[_LeafLateFinish],Tasks[[#This Row],[_Row]]+Tasks[[#This Row],[_Descendants]])),Tasks[[#This Row],[_LeafLateFinish]]))</f>
        <v/>
      </c>
      <c r="AV48" s="46"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4"/>
      <c r="BA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5"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6"/>
      <c r="BJ48" s="22"/>
      <c r="BK48" s="46" t="str">
        <f aca="false">IF(OR(Tasks[[#This Row],[Task Name]]="",Tasks[[#This Row],[Baseline Duration]]=""),"",Tasks[[#This Row],[_SpanDays]]-N(Tasks[[#This Row],[Baseline Duration]]))</f>
        <v/>
      </c>
      <c r="BL48" s="85" t="str">
        <f aca="false">IF(OR(Tasks[[#This Row],[Task Name]]="",Tasks[[#This Row],[Baseline Work]]=""),"",Tasks[[#This Row],[Work]]-N(Tasks[[#This Row],[Baseline Work]]))</f>
        <v/>
      </c>
      <c r="BM48" s="62" t="str">
        <f aca="false">IF(Tasks[[#This Row],[Task Name]]="","",IF(OR(TakeBaseline="Yes",N(Tasks[[#This Row],[Baseline Start]])=0),Tasks[[#This Row],[Start]],Tasks[[#This Row],[Baseline Start]]))</f>
        <v/>
      </c>
      <c r="BN48" s="62"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5" t="str">
        <f aca="false">IF(Tasks[[#This Row],[Task Name]]="","",IF(OR(TakeBaseline="Yes",N(Tasks[[#This Row],[Baseline Work]])=0),Tasks[[#This Row],[Work]],Tasks[[#This Row],[Baseline Work]]))</f>
        <v/>
      </c>
      <c r="BQ48" s="7"/>
      <c r="BR48" s="7"/>
      <c r="BS48" s="22"/>
      <c r="BT48" s="87"/>
      <c r="BU48" s="42" t="str">
        <f aca="false">IF(Tasks[[#This Row],[Task Name]]="","",MAX(1,N(Tasks[[#This Row],[Level]])))</f>
        <v/>
      </c>
      <c r="BV48" s="42" t="n">
        <f aca="false">ROW()-ROW(Tasks[[#Headers],[ID]])</f>
        <v>43</v>
      </c>
      <c r="BW48" s="42" t="n">
        <f aca="false">IF(OR(Tasks[[#This Row],[Task Name]]="",Tasks[[#This Row],[_Level]]&lt;=1),0,IFERROR(LOOKUP(2,1/(Tasks[[#Headers],[_Level]]:Tasks[[#This Row],[_Level]]=Tasks[[#This Row],[_Level]]-1),ROW(Tasks[[#Headers],[_Level]]:Tasks[[#This Row],[_Level]])),0))</f>
        <v>0</v>
      </c>
      <c r="BX48" s="42" t="n">
        <f aca="false">IFERROR(N(INDEX(Tasks[_Level],Tasks[[#This Row],[_Row]]+1)),0)</f>
        <v>0</v>
      </c>
      <c r="BY48" s="88" t="b">
        <f aca="false">AND(Tasks[[#This Row],[Task Name]]&lt;&gt;"",Tasks[[#This Row],[_NextLevel]]&gt;Tasks[[#This Row],[_Level]])</f>
        <v>0</v>
      </c>
      <c r="BZ48" s="42" t="n">
        <f aca="false">IF(Tasks[[#This Row],[_IsSummary]],COUNTIF(Tasks[WBS],Tasks[[#This Row],[WBS]]&amp;".*"),0)</f>
        <v>0</v>
      </c>
      <c r="CA48" s="42" t="n">
        <f aca="false">IF(AND(Tasks[[#This Row],[Task Name]]&lt;&gt;"",NOT(Tasks[[#This Row],[_IsSummary]])),1,0)</f>
        <v>0</v>
      </c>
      <c r="CB48" s="42" t="n">
        <f aca="false">IF(N(Tasks[[#This Row],[_Pred1UID]])=0,0,IFERROR(MATCH(Tasks[[#This Row],[_Pred1UID]],Tasks[UID],0),-1))</f>
        <v>0</v>
      </c>
      <c r="CC48" s="42" t="n">
        <f aca="false">IF(N(Tasks[[#This Row],[_Pred2UID]])=0,0,IFERROR(MATCH(Tasks[[#This Row],[_Pred2UID]],Tasks[UID],0),-1))</f>
        <v>0</v>
      </c>
      <c r="CD48" s="42" t="n">
        <f aca="false">IF(N(Tasks[[#This Row],[_Pred3UID]])=0,0,IFERROR(MATCH(Tasks[[#This Row],[_Pred3UID]],Tasks[UID],0),-1))</f>
        <v>0</v>
      </c>
      <c r="CE48" s="42" t="n">
        <f aca="false">IF(N(Tasks[[#This Row],[_Pred4UID]])=0,0,IFERROR(MATCH(Tasks[[#This Row],[_Pred4UID]],Tasks[UID],0),-1))</f>
        <v>0</v>
      </c>
      <c r="CF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8" s="89" t="n">
        <f aca="false">IF(OR(Tasks[[#This Row],[_ConstraintCode]]=2,Tasks[[#This Row],[_ConstraintCode]]=3,Tasks[[#This Row],[_ConstraintCode]]=4,Tasks[[#This Row],[_ConstraintCode]]=6),Tasks[[#This Row],[_ConstraintStart]],0)</f>
        <v>0</v>
      </c>
      <c r="CI48" s="89" t="n">
        <f aca="false">IF(OR(Tasks[[#This Row],[_ConstraintCode]]=2,Tasks[[#This Row],[_ConstraintCode]]=3,Tasks[[#This Row],[_ConstraintCode]]=5,Tasks[[#This Row],[_ConstraintCode]]=7),Tasks[[#This Row],[_ConstraintStart]],2958465)</f>
        <v>2958465</v>
      </c>
      <c r="CJ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8" s="89" t="str">
        <f aca="false">IF(NOT(Tasks[[#This Row],[_IsLeaf]]=1),"",IF(N(Tasks[[#This Row],[_Days]])&lt;=0,Tasks[[#This Row],[_LeafCalcStart]],WORKDAY.INTL(Tasks[[#This Row],[_LeafCalcStart]],Tasks[[#This Row],[_Days]]-1,WorkWeek,Holidays)))</f>
        <v/>
      </c>
      <c r="CL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8" s="42" t="str">
        <f aca="false">IF(Tasks[[#This Row],[_Predecessors]]="","",TRIM(MID(SUBSTITUTE(SUBSTITUTE(SUBSTITUTE(UPPER(Tasks[[#This Row],[_Predecessors]]),";",",")," ",""),",",REPT(" ",99)),1,99)))</f>
        <v/>
      </c>
      <c r="CO48" s="42" t="str">
        <f aca="false">IF(Tasks[[#This Row],[_Pred1Text]]="","",IFERROR(VALUE(LEFT(Tasks[[#This Row],[_Pred1Text]],MIN(FIND("F",Tasks[[#This Row],[_Pred1Text]]&amp;"F"),FIND("S",Tasks[[#This Row],[_Pred1Text]]&amp;"S"),FIND("+",Tasks[[#This Row],[_Pred1Text]]&amp;"+"),FIND("-",Tasks[[#This Row],[_Pred1Text]]&amp;"-"))-1)),""))</f>
        <v/>
      </c>
      <c r="CP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8" s="42" t="str">
        <f aca="false">IF(Tasks[[#This Row],[_Pred1Text]]="","",TRIM(MID(SUBSTITUTE(SUBSTITUTE(SUBSTITUTE(UPPER(Tasks[[#This Row],[_Predecessors]]),";",",")," ",""),",",REPT(" ",99)),100,99)))</f>
        <v/>
      </c>
      <c r="CS48" s="42" t="str">
        <f aca="false">IF(Tasks[[#This Row],[_Pred2Text]]="","",IFERROR(VALUE(LEFT(Tasks[[#This Row],[_Pred2Text]],MIN(FIND("F",Tasks[[#This Row],[_Pred2Text]]&amp;"F"),FIND("S",Tasks[[#This Row],[_Pred2Text]]&amp;"S"),FIND("+",Tasks[[#This Row],[_Pred2Text]]&amp;"+"),FIND("-",Tasks[[#This Row],[_Pred2Text]]&amp;"-"))-1)),""))</f>
        <v/>
      </c>
      <c r="CT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8" s="42" t="str">
        <f aca="false">IF(Tasks[[#This Row],[_Pred2Text]]="","",TRIM(MID(SUBSTITUTE(SUBSTITUTE(SUBSTITUTE(UPPER(Tasks[[#This Row],[_Predecessors]]),";",",")," ",""),",",REPT(" ",99)),199,99)))</f>
        <v/>
      </c>
      <c r="CW48" s="42" t="str">
        <f aca="false">IF(Tasks[[#This Row],[_Pred3Text]]="","",IFERROR(VALUE(LEFT(Tasks[[#This Row],[_Pred3Text]],MIN(FIND("F",Tasks[[#This Row],[_Pred3Text]]&amp;"F"),FIND("S",Tasks[[#This Row],[_Pred3Text]]&amp;"S"),FIND("+",Tasks[[#This Row],[_Pred3Text]]&amp;"+"),FIND("-",Tasks[[#This Row],[_Pred3Text]]&amp;"-"))-1)),""))</f>
        <v/>
      </c>
      <c r="CX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8" s="42" t="str">
        <f aca="false">IF(Tasks[[#This Row],[_Pred3Text]]="","",TRIM(MID(SUBSTITUTE(SUBSTITUTE(SUBSTITUTE(UPPER(Tasks[[#This Row],[_Predecessors]]),";",",")," ",""),",",REPT(" ",99)),298,99)))</f>
        <v/>
      </c>
      <c r="DA48" s="42" t="str">
        <f aca="false">IF(Tasks[[#This Row],[_Pred4Text]]="","",IFERROR(VALUE(LEFT(Tasks[[#This Row],[_Pred4Text]],MIN(FIND("F",Tasks[[#This Row],[_Pred4Text]]&amp;"F"),FIND("S",Tasks[[#This Row],[_Pred4Text]]&amp;"S"),FIND("+",Tasks[[#This Row],[_Pred4Text]]&amp;"+"),FIND("-",Tasks[[#This Row],[_Pred4Text]]&amp;"-"))-1)),""))</f>
        <v/>
      </c>
      <c r="DB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8" s="42" t="str">
        <f aca="false">IF(OR(Tasks[[#This Row],[Task Name]]="",Tasks[[#This Row],[_Resources]]=""),"",TRIM(MID(SUBSTITUTE(Tasks[[#This Row],[_Resources]],",",REPT(" ",99)),1,99)))</f>
        <v/>
      </c>
      <c r="DE48" s="42" t="str">
        <f aca="false">IF(Tasks[[#This Row],[_Res1Text]]="","",TRIM(MID(SUBSTITUTE(Tasks[[#This Row],[_Resources]],",",REPT(" ",99)),100,99)))</f>
        <v/>
      </c>
      <c r="DF48" s="42" t="str">
        <f aca="false">IF(Tasks[[#This Row],[_Res2Text]]="","",TRIM(MID(SUBSTITUTE(Tasks[[#This Row],[_Resources]],",",REPT(" ",99)),199,99)))</f>
        <v/>
      </c>
      <c r="DG48" s="42" t="str">
        <f aca="false">IF(Tasks[[#This Row],[_Res3Text]]="","",TRIM(MID(SUBSTITUTE(Tasks[[#This Row],[_Resources]],",",REPT(" ",99)),298,99)))</f>
        <v/>
      </c>
      <c r="DH48" s="42" t="n">
        <f aca="false">IF(Tasks[[#This Row],[_Res1Text]]="",0,IFERROR(MATCH(TRIM(LEFT(Tasks[[#This Row],[_Res1Text]],FIND("[",Tasks[[#This Row],[_Res1Text]]&amp;"[")-1)),res_Name,0),IFERROR(MATCH(TRIM(LEFT(Tasks[[#This Row],[_Res1Text]],FIND("[",Tasks[[#This Row],[_Res1Text]]&amp;"[")-1)),res_Initials,0),0)))</f>
        <v>0</v>
      </c>
      <c r="DI48" s="42" t="n">
        <f aca="false">IF(Tasks[[#This Row],[_Res2Text]]="",0,IFERROR(MATCH(TRIM(LEFT(Tasks[[#This Row],[_Res2Text]],FIND("[",Tasks[[#This Row],[_Res2Text]]&amp;"[")-1)),res_Name,0),IFERROR(MATCH(TRIM(LEFT(Tasks[[#This Row],[_Res2Text]],FIND("[",Tasks[[#This Row],[_Res2Text]]&amp;"[")-1)),res_Initials,0),0)))</f>
        <v>0</v>
      </c>
      <c r="DJ48" s="42" t="n">
        <f aca="false">IF(Tasks[[#This Row],[_Res3Text]]="",0,IFERROR(MATCH(TRIM(LEFT(Tasks[[#This Row],[_Res3Text]],FIND("[",Tasks[[#This Row],[_Res3Text]]&amp;"[")-1)),res_Name,0),IFERROR(MATCH(TRIM(LEFT(Tasks[[#This Row],[_Res3Text]],FIND("[",Tasks[[#This Row],[_Res3Text]]&amp;"[")-1)),res_Initials,0),0)))</f>
        <v>0</v>
      </c>
      <c r="DK48" s="42" t="n">
        <f aca="false">IF(Tasks[[#This Row],[_Res4Text]]="",0,IFERROR(MATCH(TRIM(LEFT(Tasks[[#This Row],[_Res4Text]],FIND("[",Tasks[[#This Row],[_Res4Text]]&amp;"[")-1)),res_Name,0),IFERROR(MATCH(TRIM(LEFT(Tasks[[#This Row],[_Res4Text]],FIND("[",Tasks[[#This Row],[_Res4Text]]&amp;"[")-1)),res_Initials,0),0)))</f>
        <v>0</v>
      </c>
      <c r="DL48" s="42" t="str">
        <f aca="false">IF(Tasks[[#This Row],[_Res1Text]]="","",IF(Tasks[[#This Row],[_Res1Row]]&gt;0,INDEX(res_Name,Tasks[[#This Row],[_Res1Row]]),TRIM(LEFT(Tasks[[#This Row],[_Res1Text]],FIND("[",Tasks[[#This Row],[_Res1Text]]&amp;"[")-1))))</f>
        <v/>
      </c>
      <c r="DM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8" s="42" t="n">
        <f aca="false">IF(NOT(Tasks[[#This Row],[_IsLeaf]]=1),0,(Tasks[[#This Row],[_Resource1]]&lt;&gt;"")+(Tasks[[#This Row],[_Res2]]&lt;&gt;"")+(Tasks[[#This Row],[_Res3]]&lt;&gt;"")+(Tasks[[#This Row],[_Res4]]&lt;&gt;""))</f>
        <v>0</v>
      </c>
      <c r="DO48" s="42" t="str">
        <f aca="false">IF(Tasks[[#This Row],[_Res2Text]]="","",IF(Tasks[[#This Row],[_Res2Row]]&gt;0,INDEX(res_Name,Tasks[[#This Row],[_Res2Row]]),TRIM(LEFT(Tasks[[#This Row],[_Res2Text]],FIND("[",Tasks[[#This Row],[_Res2Text]]&amp;"[")-1))))</f>
        <v/>
      </c>
      <c r="DP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8" s="42" t="n">
        <f aca="false">IF(OR(NOT(Tasks[[#This Row],[_IsLeaf]]=1),Tasks[[#This Row],[_Res2Row]]=0),0,N(Tasks[[#This Row],[_Days]])*HoursPerDay*IF(Tasks[[#This Row],[_Res2Units]]="",DefaultUnits,Tasks[[#This Row],[_Res2Units]]))</f>
        <v>0</v>
      </c>
      <c r="DR48" s="42" t="n">
        <f aca="false">IF(AND(AND(Tasks[[#This Row],[_IsLeaf]]=1,Tasks[[#This Row],[_LeafTotalWork]]&gt;0),Tasks[[#This Row],[_Res2Work]]&gt;0),Tasks[[#This Row],[_Res2Work]]/(Tasks[[#This Row],[_FinishWorkday]]-Tasks[[#This Row],[_StartWorkday]]+1),0)</f>
        <v>0</v>
      </c>
      <c r="DS48" s="42" t="n">
        <f aca="false">Tasks[[#This Row],[_Res2WorkPerWD]]*MAX(0,Tasks[[#This Row],[_StartWorkday]]-1)</f>
        <v>0</v>
      </c>
      <c r="DT48" s="42" t="n">
        <f aca="false">Tasks[[#This Row],[_Res2Work]]*Tasks[[#This Row],[_LeafProgress]]</f>
        <v>0</v>
      </c>
      <c r="DU48" s="42" t="str">
        <f aca="false">IF(Tasks[[#This Row],[_Res3Text]]="","",IF(Tasks[[#This Row],[_Res3Row]]&gt;0,INDEX(res_Name,Tasks[[#This Row],[_Res3Row]]),TRIM(LEFT(Tasks[[#This Row],[_Res3Text]],FIND("[",Tasks[[#This Row],[_Res3Text]]&amp;"[")-1))))</f>
        <v/>
      </c>
      <c r="DV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8" s="42" t="n">
        <f aca="false">IF(OR(NOT(Tasks[[#This Row],[_IsLeaf]]=1),Tasks[[#This Row],[_Res3Row]]=0),0,N(Tasks[[#This Row],[_Days]])*HoursPerDay*IF(Tasks[[#This Row],[_Res3Units]]="",DefaultUnits,Tasks[[#This Row],[_Res3Units]]))</f>
        <v>0</v>
      </c>
      <c r="DX48" s="42" t="n">
        <f aca="false">IF(AND(AND(Tasks[[#This Row],[_IsLeaf]]=1,Tasks[[#This Row],[_LeafTotalWork]]&gt;0),Tasks[[#This Row],[_Res3Work]]&gt;0),Tasks[[#This Row],[_Res3Work]]/(Tasks[[#This Row],[_FinishWorkday]]-Tasks[[#This Row],[_StartWorkday]]+1),0)</f>
        <v>0</v>
      </c>
      <c r="DY48" s="42" t="n">
        <f aca="false">Tasks[[#This Row],[_Res3WorkPerWD]]*MAX(0,Tasks[[#This Row],[_StartWorkday]]-1)</f>
        <v>0</v>
      </c>
      <c r="DZ48" s="42" t="n">
        <f aca="false">Tasks[[#This Row],[_Res3Work]]*Tasks[[#This Row],[_LeafProgress]]</f>
        <v>0</v>
      </c>
      <c r="EA48" s="42" t="str">
        <f aca="false">IF(Tasks[[#This Row],[_Res4Text]]="","",IF(Tasks[[#This Row],[_Res4Row]]&gt;0,INDEX(res_Name,Tasks[[#This Row],[_Res4Row]]),TRIM(LEFT(Tasks[[#This Row],[_Res4Text]],FIND("[",Tasks[[#This Row],[_Res4Text]]&amp;"[")-1))))</f>
        <v/>
      </c>
      <c r="EB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8" s="42" t="n">
        <f aca="false">IF(OR(NOT(Tasks[[#This Row],[_IsLeaf]]=1),Tasks[[#This Row],[_Res4Row]]=0),0,N(Tasks[[#This Row],[_Days]])*HoursPerDay*IF(Tasks[[#This Row],[_Res4Units]]="",DefaultUnits,Tasks[[#This Row],[_Res4Units]]))</f>
        <v>0</v>
      </c>
      <c r="ED48" s="42" t="n">
        <f aca="false">IF(AND(AND(Tasks[[#This Row],[_IsLeaf]]=1,Tasks[[#This Row],[_LeafTotalWork]]&gt;0),Tasks[[#This Row],[_Res4Work]]&gt;0),Tasks[[#This Row],[_Res4Work]]/(Tasks[[#This Row],[_FinishWorkday]]-Tasks[[#This Row],[_StartWorkday]]+1),0)</f>
        <v>0</v>
      </c>
      <c r="EE48" s="42" t="n">
        <f aca="false">Tasks[[#This Row],[_Res4WorkPerWD]]*MAX(0,Tasks[[#This Row],[_StartWorkday]]-1)</f>
        <v>0</v>
      </c>
      <c r="EF48" s="42" t="n">
        <f aca="false">Tasks[[#This Row],[_Res4Work]]*Tasks[[#This Row],[_LeafProgress]]</f>
        <v>0</v>
      </c>
      <c r="EG48" s="42" t="n">
        <f aca="false">IF(ISNUMBER(Tasks[[#This Row],[% Complete]]),Tasks[[#This Row],[% Complete]],IF(Tasks[[#This Row],[Stage]]="",0,IFERROR(INDEX(stg_Pct,MATCH(Tasks[[#This Row],[Stage]],stg_Name,0)),0)))</f>
        <v>0</v>
      </c>
      <c r="EH48" s="42" t="n">
        <f aca="false">IF(NOT(Tasks[[#This Row],[_IsLeaf]]=1),0,IF(N(Tasks[[#This Row],[Actual Finish]])&gt;0,1,MIN(1,Tasks[[#This Row],[_Pct]])))</f>
        <v>0</v>
      </c>
      <c r="EI48" s="42" t="n">
        <f aca="false">IF(OR(NOT(Tasks[[#This Row],[_IsLeaf]]=1),Tasks[[#This Row],[_Res1Row]]=0),0,N(Tasks[[#This Row],[_Days]])*HoursPerDay*IF(Tasks[[#This Row],[_Units1]]="",DefaultUnits,Tasks[[#This Row],[_Units1]]))</f>
        <v>0</v>
      </c>
      <c r="EJ48" s="42" t="n">
        <f aca="false">Tasks[[#This Row],[_LeafWork]]+Tasks[[#This Row],[_Res2Work]]+Tasks[[#This Row],[_Res3Work]]+Tasks[[#This Row],[_Res4Work]]</f>
        <v>0</v>
      </c>
      <c r="EK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8" s="42" t="n">
        <f aca="false">IF(NOT(Tasks[[#This Row],[_IsLeaf]]=1),0,MAX(_xlfn.MAXIFS(Tasks[_Row],Tasks[_Pred1UID],Tasks[[#This Row],[UID]]),_xlfn.MAXIFS(Tasks[_Row],Tasks[_Pred2UID],Tasks[[#This Row],[UID]]),_xlfn.MAXIFS(Tasks[_Row],Tasks[_Pred3UID],Tasks[[#This Row],[UID]]),_xlfn.MAXIFS(Tasks[_Row],Tasks[_Pred4UID],Tasks[[#This Row],[UID]])))</f>
        <v>0</v>
      </c>
      <c r="ET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8" s="89" t="str">
        <f aca="false">IF(NOT(Tasks[[#This Row],[_IsLeaf]]=1),"",IF(N(Tasks[[#This Row],[_Days]])&lt;=0,Tasks[[#This Row],[_LeafLateFinish]],WORKDAY.INTL(Tasks[[#This Row],[_LeafLateFinish]],-(Tasks[[#This Row],[_Days]]-1),WorkWeek,Holidays)))</f>
        <v/>
      </c>
      <c r="EW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8" s="88" t="b">
        <f aca="false">AND(Tasks[[#This Row],[_IsLeaf]]=1,Tasks[[#This Row],[_LeafProgress]]&lt;1,N(Tasks[[#This Row],[_LeafTotalSlack]])&lt;=CriticalSlackDays)</f>
        <v>0</v>
      </c>
      <c r="EY48" s="42" t="n">
        <f aca="false">IF(AND(Tasks[[#This Row],[_IsLeaf]]=1,Tasks[[#This Row],[_ConstraintCode]]=1,Tasks[[#This Row],[Mode]]&lt;&gt;"Manual",N(Tasks[[#This Row],[Actual Start]])=0),MAX(0,N(Tasks[[#This Row],[Free Slack]])),0)</f>
        <v>0</v>
      </c>
      <c r="EZ48" s="89" t="str">
        <f aca="false">IF(NOT(Tasks[[#This Row],[_IsLeaf]]=1),"",IF(Tasks[[#This Row],[_AlapShift]]=0,Tasks[[#This Row],[_LeafCalcStart]],WORKDAY.INTL(Tasks[[#This Row],[_LeafCalcStart]],Tasks[[#This Row],[_AlapShift]],WorkWeek,Holidays)))</f>
        <v/>
      </c>
      <c r="FA48" s="89" t="str">
        <f aca="false">IF(NOT(Tasks[[#This Row],[_IsLeaf]]=1),"",IF(Tasks[[#This Row],[_AlapShift]]=0,Tasks[[#This Row],[_LeafCalcFinish]],WORKDAY.INTL(Tasks[[#This Row],[_LeafCalcFinish]],Tasks[[#This Row],[_AlapShift]],WorkWeek,Holidays)))</f>
        <v/>
      </c>
      <c r="FB48" s="89" t="str">
        <f aca="false">IF(NOT(Tasks[[#This Row],[_IsLeaf]]=1),"",IF(Tasks[[#This Row],[_AlapShift]]=0,Tasks[[#This Row],[_LeafFcstStart]],WORKDAY.INTL(Tasks[[#This Row],[_LeafFcstStart]],Tasks[[#This Row],[_AlapShift]],WorkWeek,Holidays)))</f>
        <v/>
      </c>
      <c r="FC48" s="89" t="str">
        <f aca="false">IF(NOT(Tasks[[#This Row],[_IsLeaf]]=1),"",IF(Tasks[[#This Row],[_AlapShift]]=0,Tasks[[#This Row],[_LeafFcstFinish]],WORKDAY.INTL(Tasks[[#This Row],[_LeafFcstFinish]],Tasks[[#This Row],[_AlapShift]],WorkWeek,Holidays)))</f>
        <v/>
      </c>
      <c r="FD48" s="89" t="str">
        <f aca="false">IF(Tasks[[#This Row],[Task Name]]="","",IF(Tasks[[#This Row],[_IsSummary]],MIN(INDEX(Tasks[_ShownCalcStart],Tasks[[#This Row],[_Row]]+1):INDEX(Tasks[_ShownCalcStart],Tasks[[#This Row],[_Row]]+Tasks[[#This Row],[_Descendants]])),Tasks[[#This Row],[_ShownCalcStart]]))</f>
        <v/>
      </c>
      <c r="FE48" s="89" t="str">
        <f aca="false">IF(Tasks[[#This Row],[Task Name]]="","",IF(Tasks[[#This Row],[_IsSummary]],MAX(INDEX(Tasks[_ShownCalcFinish],Tasks[[#This Row],[_Row]]+1):INDEX(Tasks[_ShownCalcFinish],Tasks[[#This Row],[_Row]]+Tasks[[#This Row],[_Descendants]])),Tasks[[#This Row],[_ShownCalcFinish]]))</f>
        <v/>
      </c>
      <c r="FF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8" s="42" t="n">
        <f aca="false">IF(AND(Tasks[[#This Row],[_IsLeaf]]=1,Tasks[[#This Row],[_LeafTotalWork]]&gt;0),NETWORKDAYS.INTL(ProjectStart,Tasks[[#This Row],[_ShownFcstStart]],WorkWeek,Holidays),0)</f>
        <v>0</v>
      </c>
      <c r="FS48" s="42" t="n">
        <f aca="false">IF(AND(Tasks[[#This Row],[_IsLeaf]]=1,Tasks[[#This Row],[_LeafTotalWork]]&gt;0),MAX(Tasks[[#This Row],[_StartWorkday]],NETWORKDAYS.INTL(ProjectStart,Tasks[[#This Row],[_ShownFcstFinish]],WorkWeek,Holidays)),0)</f>
        <v>0</v>
      </c>
      <c r="FT48" s="42" t="n">
        <f aca="false">IF(AND(Tasks[[#This Row],[_IsLeaf]]=1,Tasks[[#This Row],[_LeafTotalWork]]&gt;0),Tasks[[#This Row],[_LeafWork]]/(Tasks[[#This Row],[_FinishWorkday]]-Tasks[[#This Row],[_StartWorkday]]+1),0)</f>
        <v>0</v>
      </c>
      <c r="FU48" s="42" t="n">
        <f aca="false">Tasks[[#This Row],[_WorkPerWorkday]]*(Tasks[[#This Row],[_StartWorkday]]-1)</f>
        <v>-0</v>
      </c>
      <c r="FV48" s="42" t="n">
        <f aca="false">IF(Tasks[[#This Row],[_IsLeaf]]=1,MAX(N(Tasks[[#This Row],[_Days]]),0.1),0)</f>
        <v>0</v>
      </c>
      <c r="FW48" s="42" t="n">
        <f aca="false">Tasks[[#This Row],[_WeightDur]]*Tasks[[#This Row],[_LeafProgress]]</f>
        <v>0</v>
      </c>
      <c r="FX48" s="42" t="n">
        <f aca="false">Tasks[[#This Row],[_WeightDur]]*Tasks[[#This Row],[_PlannedPct]]</f>
        <v>0</v>
      </c>
      <c r="FY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8" s="42" t="str">
        <f aca="false">IF(AND(Tasks[[#This Row],[_IsLeaf]]=1,N(Tasks[[#This Row],[_Days]])=0,Tasks[[#This Row],[_LeafProgress]]&lt;1),Tasks[[#This Row],[_ShownFcstFinish]]+Tasks[[#This Row],[_Row]]/100000,"")</f>
        <v/>
      </c>
      <c r="GA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8" s="42" t="str">
        <f aca="false">IF(Tasks[[#This Row],[Task Name]]="","",LEFT(Tasks[[#This Row],[WBS]],FIND(".",Tasks[[#This Row],[WBS]]&amp;".")-1))</f>
        <v/>
      </c>
      <c r="GC48" s="42" t="str">
        <f aca="false">IF(AND(Tasks[[#This Row],[Task Name]]&lt;&gt;"",Tasks[[#This Row],[_Level]]=1),Tasks[[#This Row],[_Row]],"")</f>
        <v/>
      </c>
      <c r="GD48" s="42" t="str">
        <f aca="false">IF(AND(Tasks[[#This Row],[_IsLeaf]]=1,N(Tasks[[#This Row],[_Days]])=0),Tasks[[#This Row],[Planned Finish]]+Tasks[[#This Row],[_Row]]/100000,"")</f>
        <v/>
      </c>
      <c r="GE48" s="42" t="str">
        <f aca="false">IF(AND(Tasks[[#This Row],[_IsLeaf]]=1,Tasks[[#This Row],[_LeafProgress]]&lt;1,OR(N(Tasks[[#This Row],[Finish Var]])&gt;0,Tasks[[#This Row],[Status]]="Late Start")),MAX(0,Tasks[[#This Row],[Finish Var]])+1-Tasks[[#This Row],[_Row]]/1000000,"")</f>
        <v/>
      </c>
      <c r="GF48" s="42" t="str">
        <f aca="false">IF(AND(Tasks[[#This Row],[_IsLeaf]]=1,N(Tasks[[#This Row],[Actual Start]])=0,Tasks[[#This Row],[_ShownFcstStart]]&gt;=StatusDate,Tasks[[#This Row],[_ShownFcstStart]]&lt;=LookaheadEnd),Tasks[[#This Row],[_ShownFcstStart]]+Tasks[[#This Row],[_Row]]/100000,"")</f>
        <v/>
      </c>
      <c r="GG48" s="42" t="str">
        <f aca="false">IF(AND(Tasks[[#This Row],[_IsLeaf]]=1,Tasks[[#This Row],[_LeafProgress]]&lt;1,Tasks[[#This Row],[_ShownFcstFinish]]&gt;=StatusDate,Tasks[[#This Row],[_ShownFcstFinish]]&lt;=LookaheadEnd),Tasks[[#This Row],[_ShownFcstFinish]]+Tasks[[#This Row],[_Row]]/100000,"")</f>
        <v/>
      </c>
      <c r="GH48" s="42" t="str">
        <f aca="false">IF(Tasks[[#This Row],[_LeafCritical]],Tasks[[#This Row],[_ShownFcstStart]]+Tasks[[#This Row],[_Row]]/100000,"")</f>
        <v/>
      </c>
      <c r="GI48" s="42" t="n">
        <f aca="false">Tasks[[#This Row],[_LeafWork]]*Tasks[[#This Row],[_LeafProgress]]</f>
        <v>0</v>
      </c>
      <c r="GJ48" s="89" t="str">
        <f aca="false">IF(AND(Tasks[[#This Row],[_IsLeaf]]=1,Tasks[[#This Row],[_LeafProgress]]&gt;=1),IF(N(Tasks[[#This Row],[Actual Finish]])&gt;0,Tasks[[#This Row],[Actual Finish]],Tasks[[#This Row],[_ShownFcstFinish]]),"")</f>
        <v/>
      </c>
      <c r="GK48" s="42" t="n">
        <f aca="false">IF(Tasks[[#This Row],[_IsLeaf]]=1,N(Tasks[[#This Row],[Story Points]]),0)</f>
        <v>0</v>
      </c>
      <c r="GL48" s="42" t="str">
        <f aca="false">""</f>
        <v/>
      </c>
      <c r="GM48" s="88" t="b">
        <f aca="false">IF(Tasks[[#This Row],[Task Name]]="",FALSE(),AND(Tasks[[#This Row],[_IsLeaf]]=1,N(Tasks[[#This Row],[_Days]])=0))</f>
        <v>0</v>
      </c>
      <c r="GN48" s="89" t="n">
        <f aca="false">IF(Tasks[[#This Row],[Task Name]]="",0,IF(AND(Tasks[[#This Row],[_IsLeaf]]=1,NOT(Tasks[[#This Row],[_IsMilestone]]),N(Tasks[[#This Row],[Progress]])&gt;0),Tasks[[#This Row],[Start]],0))</f>
        <v>0</v>
      </c>
      <c r="GO48" s="89" t="n">
        <f aca="false">IF(Tasks[[#This Row],[_DoneFrom]]=0,0,IF(Tasks[[#This Row],[Progress]]&gt;=1,Tasks[[#This Row],[Finish]],MAX(Tasks[[#This Row],[_DoneFrom]],Tasks[[#This Row],[Start]]+ROUND((Tasks[[#This Row],[Finish]]-Tasks[[#This Row],[Start]]+1)*Tasks[[#This Row],[Progress]],0)-1)))</f>
        <v>0</v>
      </c>
      <c r="GP48" s="89" t="n">
        <f aca="false">IF(Tasks[[#This Row],[Task Name]]="",0,IF(OR(NOT(Tasks[[#This Row],[_IsLeaf]]=1),Tasks[[#This Row],[_IsMilestone]],N(Tasks[[#This Row],[Progress]])&gt;=1),0,IF(Tasks[[#This Row],[_DoneTo]]&gt;0,Tasks[[#This Row],[_DoneTo]]+1,Tasks[[#This Row],[Start]])))</f>
        <v>0</v>
      </c>
      <c r="GQ48" s="89" t="n">
        <f aca="false">IF(Tasks[[#This Row],[_RemFrom]]=0,0,Tasks[[#This Row],[Finish]])</f>
        <v>0</v>
      </c>
      <c r="GR48" s="88" t="b">
        <f aca="false">IF(Tasks[[#This Row],[Task Name]]="",FALSE(),OR(NOT(BaselineSet),N(Tasks[[#This Row],[Baseline Start]])&gt;0))</f>
        <v>0</v>
      </c>
      <c r="GS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8" s="90" t="str">
        <f aca="false">IF(Tasks[[#This Row],[_IsLeaf]]=1,Tasks[[#This Row],[_Row]],"")</f>
        <v/>
      </c>
      <c r="GW48" s="90" t="str">
        <f aca="false">IFERROR(INDEX(Tasks[UID],SMALL(Tasks[_PickKey],Tasks[[#This Row],[_Row]]))&amp;" "&amp;INDEX(Tasks[Task Name],SMALL(Tasks[_PickKey],Tasks[[#This Row],[_Row]])),"")</f>
        <v/>
      </c>
      <c r="GX48" s="42" t="str">
        <f aca="false">IF(Tasks[[#This Row],[Task Name]]="","",IF(Tasks[[#This Row],[_IsSummary]],NETWORKDAYS.INTL(Tasks[[#This Row],[Start]],Tasks[[#This Row],[Finish]],WorkWeek,Holidays),N(Tasks[[#This Row],[_Days]])))</f>
        <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3"/>
      <c r="U49" s="23"/>
      <c r="V49" s="83"/>
      <c r="W49" s="23"/>
      <c r="X49" s="83"/>
      <c r="Y49" s="23"/>
      <c r="Z49" s="83"/>
      <c r="AA49" s="23"/>
      <c r="AB49" s="23"/>
      <c r="AC49" s="7"/>
      <c r="AD49" s="7"/>
      <c r="AE49" s="62" t="str">
        <f aca="false">IF(Tasks[[#This Row],[Task Name]]="","",IF(Tasks[[#This Row],[_IsSummary]],MIN(INDEX(Tasks[_ShownFcstStart],Tasks[[#This Row],[_Row]]+1):INDEX(Tasks[_ShownFcstStart],Tasks[[#This Row],[_Row]]+Tasks[[#This Row],[_Descendants]])),Tasks[[#This Row],[_ShownFcstStart]]))</f>
        <v/>
      </c>
      <c r="AF49" s="62"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9" s="7"/>
      <c r="AK49" s="22"/>
      <c r="AL49" s="23"/>
      <c r="AM49" s="7"/>
      <c r="AN49" s="46"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2" t="str">
        <f aca="false">IF(Tasks[[#This Row],[Task Name]]="","",IF(N(Tasks[[#This Row],[Baseline Start]])&gt;0,Tasks[[#This Row],[Baseline Start]],Tasks[[#This Row],[_CalcStart]]))</f>
        <v/>
      </c>
      <c r="AR49" s="62" t="str">
        <f aca="false">IF(Tasks[[#This Row],[Task Name]]="","",IF(N(Tasks[[#This Row],[Baseline Finish]])&gt;0,Tasks[[#This Row],[Baseline Finish]],Tasks[[#This Row],[_CalcFinish]]))</f>
        <v/>
      </c>
      <c r="AS49" s="46" t="str">
        <f aca="false">IF(Tasks[[#This Row],[Task Name]]="","",IF(Tasks[[#This Row],[Start]]&gt;=Tasks[[#This Row],[Planned Start]],NETWORKDAYS.INTL(Tasks[[#This Row],[Planned Start]],Tasks[[#This Row],[Start]],WorkWeek,Holidays)-1,1-NETWORKDAYS.INTL(Tasks[[#This Row],[Start]],Tasks[[#This Row],[Planned Start]],WorkWeek,Holidays)))</f>
        <v/>
      </c>
      <c r="AT49" s="62" t="str">
        <f aca="false">IF(Tasks[[#This Row],[Task Name]]="","",IF(Tasks[[#This Row],[_IsSummary]],MIN(INDEX(Tasks[_LeafLateStart],Tasks[[#This Row],[_Row]]+1):INDEX(Tasks[_LeafLateStart],Tasks[[#This Row],[_Row]]+Tasks[[#This Row],[_Descendants]])),Tasks[[#This Row],[_LeafLateStart]]))</f>
        <v/>
      </c>
      <c r="AU49" s="62" t="str">
        <f aca="false">IF(Tasks[[#This Row],[Task Name]]="","",IF(Tasks[[#This Row],[_IsSummary]],MAX(INDEX(Tasks[_LeafLateFinish],Tasks[[#This Row],[_Row]]+1):INDEX(Tasks[_LeafLateFinish],Tasks[[#This Row],[_Row]]+Tasks[[#This Row],[_Descendants]])),Tasks[[#This Row],[_LeafLateFinish]]))</f>
        <v/>
      </c>
      <c r="AV49" s="46"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4"/>
      <c r="BA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5"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6"/>
      <c r="BJ49" s="22"/>
      <c r="BK49" s="46" t="str">
        <f aca="false">IF(OR(Tasks[[#This Row],[Task Name]]="",Tasks[[#This Row],[Baseline Duration]]=""),"",Tasks[[#This Row],[_SpanDays]]-N(Tasks[[#This Row],[Baseline Duration]]))</f>
        <v/>
      </c>
      <c r="BL49" s="85" t="str">
        <f aca="false">IF(OR(Tasks[[#This Row],[Task Name]]="",Tasks[[#This Row],[Baseline Work]]=""),"",Tasks[[#This Row],[Work]]-N(Tasks[[#This Row],[Baseline Work]]))</f>
        <v/>
      </c>
      <c r="BM49" s="62" t="str">
        <f aca="false">IF(Tasks[[#This Row],[Task Name]]="","",IF(OR(TakeBaseline="Yes",N(Tasks[[#This Row],[Baseline Start]])=0),Tasks[[#This Row],[Start]],Tasks[[#This Row],[Baseline Start]]))</f>
        <v/>
      </c>
      <c r="BN49" s="62"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5" t="str">
        <f aca="false">IF(Tasks[[#This Row],[Task Name]]="","",IF(OR(TakeBaseline="Yes",N(Tasks[[#This Row],[Baseline Work]])=0),Tasks[[#This Row],[Work]],Tasks[[#This Row],[Baseline Work]]))</f>
        <v/>
      </c>
      <c r="BQ49" s="7"/>
      <c r="BR49" s="7"/>
      <c r="BS49" s="22"/>
      <c r="BT49" s="87"/>
      <c r="BU49" s="42" t="str">
        <f aca="false">IF(Tasks[[#This Row],[Task Name]]="","",MAX(1,N(Tasks[[#This Row],[Level]])))</f>
        <v/>
      </c>
      <c r="BV49" s="42" t="n">
        <f aca="false">ROW()-ROW(Tasks[[#Headers],[ID]])</f>
        <v>44</v>
      </c>
      <c r="BW49" s="42" t="n">
        <f aca="false">IF(OR(Tasks[[#This Row],[Task Name]]="",Tasks[[#This Row],[_Level]]&lt;=1),0,IFERROR(LOOKUP(2,1/(Tasks[[#Headers],[_Level]]:Tasks[[#This Row],[_Level]]=Tasks[[#This Row],[_Level]]-1),ROW(Tasks[[#Headers],[_Level]]:Tasks[[#This Row],[_Level]])),0))</f>
        <v>0</v>
      </c>
      <c r="BX49" s="42" t="n">
        <f aca="false">IFERROR(N(INDEX(Tasks[_Level],Tasks[[#This Row],[_Row]]+1)),0)</f>
        <v>0</v>
      </c>
      <c r="BY49" s="88" t="b">
        <f aca="false">AND(Tasks[[#This Row],[Task Name]]&lt;&gt;"",Tasks[[#This Row],[_NextLevel]]&gt;Tasks[[#This Row],[_Level]])</f>
        <v>0</v>
      </c>
      <c r="BZ49" s="42" t="n">
        <f aca="false">IF(Tasks[[#This Row],[_IsSummary]],COUNTIF(Tasks[WBS],Tasks[[#This Row],[WBS]]&amp;".*"),0)</f>
        <v>0</v>
      </c>
      <c r="CA49" s="42" t="n">
        <f aca="false">IF(AND(Tasks[[#This Row],[Task Name]]&lt;&gt;"",NOT(Tasks[[#This Row],[_IsSummary]])),1,0)</f>
        <v>0</v>
      </c>
      <c r="CB49" s="42" t="n">
        <f aca="false">IF(N(Tasks[[#This Row],[_Pred1UID]])=0,0,IFERROR(MATCH(Tasks[[#This Row],[_Pred1UID]],Tasks[UID],0),-1))</f>
        <v>0</v>
      </c>
      <c r="CC49" s="42" t="n">
        <f aca="false">IF(N(Tasks[[#This Row],[_Pred2UID]])=0,0,IFERROR(MATCH(Tasks[[#This Row],[_Pred2UID]],Tasks[UID],0),-1))</f>
        <v>0</v>
      </c>
      <c r="CD49" s="42" t="n">
        <f aca="false">IF(N(Tasks[[#This Row],[_Pred3UID]])=0,0,IFERROR(MATCH(Tasks[[#This Row],[_Pred3UID]],Tasks[UID],0),-1))</f>
        <v>0</v>
      </c>
      <c r="CE49" s="42" t="n">
        <f aca="false">IF(N(Tasks[[#This Row],[_Pred4UID]])=0,0,IFERROR(MATCH(Tasks[[#This Row],[_Pred4UID]],Tasks[UID],0),-1))</f>
        <v>0</v>
      </c>
      <c r="CF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9" s="89" t="n">
        <f aca="false">IF(OR(Tasks[[#This Row],[_ConstraintCode]]=2,Tasks[[#This Row],[_ConstraintCode]]=3,Tasks[[#This Row],[_ConstraintCode]]=4,Tasks[[#This Row],[_ConstraintCode]]=6),Tasks[[#This Row],[_ConstraintStart]],0)</f>
        <v>0</v>
      </c>
      <c r="CI49" s="89" t="n">
        <f aca="false">IF(OR(Tasks[[#This Row],[_ConstraintCode]]=2,Tasks[[#This Row],[_ConstraintCode]]=3,Tasks[[#This Row],[_ConstraintCode]]=5,Tasks[[#This Row],[_ConstraintCode]]=7),Tasks[[#This Row],[_ConstraintStart]],2958465)</f>
        <v>2958465</v>
      </c>
      <c r="CJ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9" s="89" t="str">
        <f aca="false">IF(NOT(Tasks[[#This Row],[_IsLeaf]]=1),"",IF(N(Tasks[[#This Row],[_Days]])&lt;=0,Tasks[[#This Row],[_LeafCalcStart]],WORKDAY.INTL(Tasks[[#This Row],[_LeafCalcStart]],Tasks[[#This Row],[_Days]]-1,WorkWeek,Holidays)))</f>
        <v/>
      </c>
      <c r="CL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9" s="42" t="str">
        <f aca="false">IF(Tasks[[#This Row],[_Predecessors]]="","",TRIM(MID(SUBSTITUTE(SUBSTITUTE(SUBSTITUTE(UPPER(Tasks[[#This Row],[_Predecessors]]),";",",")," ",""),",",REPT(" ",99)),1,99)))</f>
        <v/>
      </c>
      <c r="CO49" s="42" t="str">
        <f aca="false">IF(Tasks[[#This Row],[_Pred1Text]]="","",IFERROR(VALUE(LEFT(Tasks[[#This Row],[_Pred1Text]],MIN(FIND("F",Tasks[[#This Row],[_Pred1Text]]&amp;"F"),FIND("S",Tasks[[#This Row],[_Pred1Text]]&amp;"S"),FIND("+",Tasks[[#This Row],[_Pred1Text]]&amp;"+"),FIND("-",Tasks[[#This Row],[_Pred1Text]]&amp;"-"))-1)),""))</f>
        <v/>
      </c>
      <c r="CP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9" s="42" t="str">
        <f aca="false">IF(Tasks[[#This Row],[_Pred1Text]]="","",TRIM(MID(SUBSTITUTE(SUBSTITUTE(SUBSTITUTE(UPPER(Tasks[[#This Row],[_Predecessors]]),";",",")," ",""),",",REPT(" ",99)),100,99)))</f>
        <v/>
      </c>
      <c r="CS49" s="42" t="str">
        <f aca="false">IF(Tasks[[#This Row],[_Pred2Text]]="","",IFERROR(VALUE(LEFT(Tasks[[#This Row],[_Pred2Text]],MIN(FIND("F",Tasks[[#This Row],[_Pred2Text]]&amp;"F"),FIND("S",Tasks[[#This Row],[_Pred2Text]]&amp;"S"),FIND("+",Tasks[[#This Row],[_Pred2Text]]&amp;"+"),FIND("-",Tasks[[#This Row],[_Pred2Text]]&amp;"-"))-1)),""))</f>
        <v/>
      </c>
      <c r="CT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9" s="42" t="str">
        <f aca="false">IF(Tasks[[#This Row],[_Pred2Text]]="","",TRIM(MID(SUBSTITUTE(SUBSTITUTE(SUBSTITUTE(UPPER(Tasks[[#This Row],[_Predecessors]]),";",",")," ",""),",",REPT(" ",99)),199,99)))</f>
        <v/>
      </c>
      <c r="CW49" s="42" t="str">
        <f aca="false">IF(Tasks[[#This Row],[_Pred3Text]]="","",IFERROR(VALUE(LEFT(Tasks[[#This Row],[_Pred3Text]],MIN(FIND("F",Tasks[[#This Row],[_Pred3Text]]&amp;"F"),FIND("S",Tasks[[#This Row],[_Pred3Text]]&amp;"S"),FIND("+",Tasks[[#This Row],[_Pred3Text]]&amp;"+"),FIND("-",Tasks[[#This Row],[_Pred3Text]]&amp;"-"))-1)),""))</f>
        <v/>
      </c>
      <c r="CX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9" s="42" t="str">
        <f aca="false">IF(Tasks[[#This Row],[_Pred3Text]]="","",TRIM(MID(SUBSTITUTE(SUBSTITUTE(SUBSTITUTE(UPPER(Tasks[[#This Row],[_Predecessors]]),";",",")," ",""),",",REPT(" ",99)),298,99)))</f>
        <v/>
      </c>
      <c r="DA49" s="42" t="str">
        <f aca="false">IF(Tasks[[#This Row],[_Pred4Text]]="","",IFERROR(VALUE(LEFT(Tasks[[#This Row],[_Pred4Text]],MIN(FIND("F",Tasks[[#This Row],[_Pred4Text]]&amp;"F"),FIND("S",Tasks[[#This Row],[_Pred4Text]]&amp;"S"),FIND("+",Tasks[[#This Row],[_Pred4Text]]&amp;"+"),FIND("-",Tasks[[#This Row],[_Pred4Text]]&amp;"-"))-1)),""))</f>
        <v/>
      </c>
      <c r="DB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9" s="42" t="str">
        <f aca="false">IF(OR(Tasks[[#This Row],[Task Name]]="",Tasks[[#This Row],[_Resources]]=""),"",TRIM(MID(SUBSTITUTE(Tasks[[#This Row],[_Resources]],",",REPT(" ",99)),1,99)))</f>
        <v/>
      </c>
      <c r="DE49" s="42" t="str">
        <f aca="false">IF(Tasks[[#This Row],[_Res1Text]]="","",TRIM(MID(SUBSTITUTE(Tasks[[#This Row],[_Resources]],",",REPT(" ",99)),100,99)))</f>
        <v/>
      </c>
      <c r="DF49" s="42" t="str">
        <f aca="false">IF(Tasks[[#This Row],[_Res2Text]]="","",TRIM(MID(SUBSTITUTE(Tasks[[#This Row],[_Resources]],",",REPT(" ",99)),199,99)))</f>
        <v/>
      </c>
      <c r="DG49" s="42" t="str">
        <f aca="false">IF(Tasks[[#This Row],[_Res3Text]]="","",TRIM(MID(SUBSTITUTE(Tasks[[#This Row],[_Resources]],",",REPT(" ",99)),298,99)))</f>
        <v/>
      </c>
      <c r="DH49" s="42" t="n">
        <f aca="false">IF(Tasks[[#This Row],[_Res1Text]]="",0,IFERROR(MATCH(TRIM(LEFT(Tasks[[#This Row],[_Res1Text]],FIND("[",Tasks[[#This Row],[_Res1Text]]&amp;"[")-1)),res_Name,0),IFERROR(MATCH(TRIM(LEFT(Tasks[[#This Row],[_Res1Text]],FIND("[",Tasks[[#This Row],[_Res1Text]]&amp;"[")-1)),res_Initials,0),0)))</f>
        <v>0</v>
      </c>
      <c r="DI49" s="42" t="n">
        <f aca="false">IF(Tasks[[#This Row],[_Res2Text]]="",0,IFERROR(MATCH(TRIM(LEFT(Tasks[[#This Row],[_Res2Text]],FIND("[",Tasks[[#This Row],[_Res2Text]]&amp;"[")-1)),res_Name,0),IFERROR(MATCH(TRIM(LEFT(Tasks[[#This Row],[_Res2Text]],FIND("[",Tasks[[#This Row],[_Res2Text]]&amp;"[")-1)),res_Initials,0),0)))</f>
        <v>0</v>
      </c>
      <c r="DJ49" s="42" t="n">
        <f aca="false">IF(Tasks[[#This Row],[_Res3Text]]="",0,IFERROR(MATCH(TRIM(LEFT(Tasks[[#This Row],[_Res3Text]],FIND("[",Tasks[[#This Row],[_Res3Text]]&amp;"[")-1)),res_Name,0),IFERROR(MATCH(TRIM(LEFT(Tasks[[#This Row],[_Res3Text]],FIND("[",Tasks[[#This Row],[_Res3Text]]&amp;"[")-1)),res_Initials,0),0)))</f>
        <v>0</v>
      </c>
      <c r="DK49" s="42" t="n">
        <f aca="false">IF(Tasks[[#This Row],[_Res4Text]]="",0,IFERROR(MATCH(TRIM(LEFT(Tasks[[#This Row],[_Res4Text]],FIND("[",Tasks[[#This Row],[_Res4Text]]&amp;"[")-1)),res_Name,0),IFERROR(MATCH(TRIM(LEFT(Tasks[[#This Row],[_Res4Text]],FIND("[",Tasks[[#This Row],[_Res4Text]]&amp;"[")-1)),res_Initials,0),0)))</f>
        <v>0</v>
      </c>
      <c r="DL49" s="42" t="str">
        <f aca="false">IF(Tasks[[#This Row],[_Res1Text]]="","",IF(Tasks[[#This Row],[_Res1Row]]&gt;0,INDEX(res_Name,Tasks[[#This Row],[_Res1Row]]),TRIM(LEFT(Tasks[[#This Row],[_Res1Text]],FIND("[",Tasks[[#This Row],[_Res1Text]]&amp;"[")-1))))</f>
        <v/>
      </c>
      <c r="DM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9" s="42" t="n">
        <f aca="false">IF(NOT(Tasks[[#This Row],[_IsLeaf]]=1),0,(Tasks[[#This Row],[_Resource1]]&lt;&gt;"")+(Tasks[[#This Row],[_Res2]]&lt;&gt;"")+(Tasks[[#This Row],[_Res3]]&lt;&gt;"")+(Tasks[[#This Row],[_Res4]]&lt;&gt;""))</f>
        <v>0</v>
      </c>
      <c r="DO49" s="42" t="str">
        <f aca="false">IF(Tasks[[#This Row],[_Res2Text]]="","",IF(Tasks[[#This Row],[_Res2Row]]&gt;0,INDEX(res_Name,Tasks[[#This Row],[_Res2Row]]),TRIM(LEFT(Tasks[[#This Row],[_Res2Text]],FIND("[",Tasks[[#This Row],[_Res2Text]]&amp;"[")-1))))</f>
        <v/>
      </c>
      <c r="DP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9" s="42" t="n">
        <f aca="false">IF(OR(NOT(Tasks[[#This Row],[_IsLeaf]]=1),Tasks[[#This Row],[_Res2Row]]=0),0,N(Tasks[[#This Row],[_Days]])*HoursPerDay*IF(Tasks[[#This Row],[_Res2Units]]="",DefaultUnits,Tasks[[#This Row],[_Res2Units]]))</f>
        <v>0</v>
      </c>
      <c r="DR49" s="42" t="n">
        <f aca="false">IF(AND(AND(Tasks[[#This Row],[_IsLeaf]]=1,Tasks[[#This Row],[_LeafTotalWork]]&gt;0),Tasks[[#This Row],[_Res2Work]]&gt;0),Tasks[[#This Row],[_Res2Work]]/(Tasks[[#This Row],[_FinishWorkday]]-Tasks[[#This Row],[_StartWorkday]]+1),0)</f>
        <v>0</v>
      </c>
      <c r="DS49" s="42" t="n">
        <f aca="false">Tasks[[#This Row],[_Res2WorkPerWD]]*MAX(0,Tasks[[#This Row],[_StartWorkday]]-1)</f>
        <v>0</v>
      </c>
      <c r="DT49" s="42" t="n">
        <f aca="false">Tasks[[#This Row],[_Res2Work]]*Tasks[[#This Row],[_LeafProgress]]</f>
        <v>0</v>
      </c>
      <c r="DU49" s="42" t="str">
        <f aca="false">IF(Tasks[[#This Row],[_Res3Text]]="","",IF(Tasks[[#This Row],[_Res3Row]]&gt;0,INDEX(res_Name,Tasks[[#This Row],[_Res3Row]]),TRIM(LEFT(Tasks[[#This Row],[_Res3Text]],FIND("[",Tasks[[#This Row],[_Res3Text]]&amp;"[")-1))))</f>
        <v/>
      </c>
      <c r="DV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9" s="42" t="n">
        <f aca="false">IF(OR(NOT(Tasks[[#This Row],[_IsLeaf]]=1),Tasks[[#This Row],[_Res3Row]]=0),0,N(Tasks[[#This Row],[_Days]])*HoursPerDay*IF(Tasks[[#This Row],[_Res3Units]]="",DefaultUnits,Tasks[[#This Row],[_Res3Units]]))</f>
        <v>0</v>
      </c>
      <c r="DX49" s="42" t="n">
        <f aca="false">IF(AND(AND(Tasks[[#This Row],[_IsLeaf]]=1,Tasks[[#This Row],[_LeafTotalWork]]&gt;0),Tasks[[#This Row],[_Res3Work]]&gt;0),Tasks[[#This Row],[_Res3Work]]/(Tasks[[#This Row],[_FinishWorkday]]-Tasks[[#This Row],[_StartWorkday]]+1),0)</f>
        <v>0</v>
      </c>
      <c r="DY49" s="42" t="n">
        <f aca="false">Tasks[[#This Row],[_Res3WorkPerWD]]*MAX(0,Tasks[[#This Row],[_StartWorkday]]-1)</f>
        <v>0</v>
      </c>
      <c r="DZ49" s="42" t="n">
        <f aca="false">Tasks[[#This Row],[_Res3Work]]*Tasks[[#This Row],[_LeafProgress]]</f>
        <v>0</v>
      </c>
      <c r="EA49" s="42" t="str">
        <f aca="false">IF(Tasks[[#This Row],[_Res4Text]]="","",IF(Tasks[[#This Row],[_Res4Row]]&gt;0,INDEX(res_Name,Tasks[[#This Row],[_Res4Row]]),TRIM(LEFT(Tasks[[#This Row],[_Res4Text]],FIND("[",Tasks[[#This Row],[_Res4Text]]&amp;"[")-1))))</f>
        <v/>
      </c>
      <c r="EB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9" s="42" t="n">
        <f aca="false">IF(OR(NOT(Tasks[[#This Row],[_IsLeaf]]=1),Tasks[[#This Row],[_Res4Row]]=0),0,N(Tasks[[#This Row],[_Days]])*HoursPerDay*IF(Tasks[[#This Row],[_Res4Units]]="",DefaultUnits,Tasks[[#This Row],[_Res4Units]]))</f>
        <v>0</v>
      </c>
      <c r="ED49" s="42" t="n">
        <f aca="false">IF(AND(AND(Tasks[[#This Row],[_IsLeaf]]=1,Tasks[[#This Row],[_LeafTotalWork]]&gt;0),Tasks[[#This Row],[_Res4Work]]&gt;0),Tasks[[#This Row],[_Res4Work]]/(Tasks[[#This Row],[_FinishWorkday]]-Tasks[[#This Row],[_StartWorkday]]+1),0)</f>
        <v>0</v>
      </c>
      <c r="EE49" s="42" t="n">
        <f aca="false">Tasks[[#This Row],[_Res4WorkPerWD]]*MAX(0,Tasks[[#This Row],[_StartWorkday]]-1)</f>
        <v>0</v>
      </c>
      <c r="EF49" s="42" t="n">
        <f aca="false">Tasks[[#This Row],[_Res4Work]]*Tasks[[#This Row],[_LeafProgress]]</f>
        <v>0</v>
      </c>
      <c r="EG49" s="42" t="n">
        <f aca="false">IF(ISNUMBER(Tasks[[#This Row],[% Complete]]),Tasks[[#This Row],[% Complete]],IF(Tasks[[#This Row],[Stage]]="",0,IFERROR(INDEX(stg_Pct,MATCH(Tasks[[#This Row],[Stage]],stg_Name,0)),0)))</f>
        <v>0</v>
      </c>
      <c r="EH49" s="42" t="n">
        <f aca="false">IF(NOT(Tasks[[#This Row],[_IsLeaf]]=1),0,IF(N(Tasks[[#This Row],[Actual Finish]])&gt;0,1,MIN(1,Tasks[[#This Row],[_Pct]])))</f>
        <v>0</v>
      </c>
      <c r="EI49" s="42" t="n">
        <f aca="false">IF(OR(NOT(Tasks[[#This Row],[_IsLeaf]]=1),Tasks[[#This Row],[_Res1Row]]=0),0,N(Tasks[[#This Row],[_Days]])*HoursPerDay*IF(Tasks[[#This Row],[_Units1]]="",DefaultUnits,Tasks[[#This Row],[_Units1]]))</f>
        <v>0</v>
      </c>
      <c r="EJ49" s="42" t="n">
        <f aca="false">Tasks[[#This Row],[_LeafWork]]+Tasks[[#This Row],[_Res2Work]]+Tasks[[#This Row],[_Res3Work]]+Tasks[[#This Row],[_Res4Work]]</f>
        <v>0</v>
      </c>
      <c r="EK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9" s="42" t="n">
        <f aca="false">IF(NOT(Tasks[[#This Row],[_IsLeaf]]=1),0,MAX(_xlfn.MAXIFS(Tasks[_Row],Tasks[_Pred1UID],Tasks[[#This Row],[UID]]),_xlfn.MAXIFS(Tasks[_Row],Tasks[_Pred2UID],Tasks[[#This Row],[UID]]),_xlfn.MAXIFS(Tasks[_Row],Tasks[_Pred3UID],Tasks[[#This Row],[UID]]),_xlfn.MAXIFS(Tasks[_Row],Tasks[_Pred4UID],Tasks[[#This Row],[UID]])))</f>
        <v>0</v>
      </c>
      <c r="ET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9" s="89" t="str">
        <f aca="false">IF(NOT(Tasks[[#This Row],[_IsLeaf]]=1),"",IF(N(Tasks[[#This Row],[_Days]])&lt;=0,Tasks[[#This Row],[_LeafLateFinish]],WORKDAY.INTL(Tasks[[#This Row],[_LeafLateFinish]],-(Tasks[[#This Row],[_Days]]-1),WorkWeek,Holidays)))</f>
        <v/>
      </c>
      <c r="EW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9" s="88" t="b">
        <f aca="false">AND(Tasks[[#This Row],[_IsLeaf]]=1,Tasks[[#This Row],[_LeafProgress]]&lt;1,N(Tasks[[#This Row],[_LeafTotalSlack]])&lt;=CriticalSlackDays)</f>
        <v>0</v>
      </c>
      <c r="EY49" s="42" t="n">
        <f aca="false">IF(AND(Tasks[[#This Row],[_IsLeaf]]=1,Tasks[[#This Row],[_ConstraintCode]]=1,Tasks[[#This Row],[Mode]]&lt;&gt;"Manual",N(Tasks[[#This Row],[Actual Start]])=0),MAX(0,N(Tasks[[#This Row],[Free Slack]])),0)</f>
        <v>0</v>
      </c>
      <c r="EZ49" s="89" t="str">
        <f aca="false">IF(NOT(Tasks[[#This Row],[_IsLeaf]]=1),"",IF(Tasks[[#This Row],[_AlapShift]]=0,Tasks[[#This Row],[_LeafCalcStart]],WORKDAY.INTL(Tasks[[#This Row],[_LeafCalcStart]],Tasks[[#This Row],[_AlapShift]],WorkWeek,Holidays)))</f>
        <v/>
      </c>
      <c r="FA49" s="89" t="str">
        <f aca="false">IF(NOT(Tasks[[#This Row],[_IsLeaf]]=1),"",IF(Tasks[[#This Row],[_AlapShift]]=0,Tasks[[#This Row],[_LeafCalcFinish]],WORKDAY.INTL(Tasks[[#This Row],[_LeafCalcFinish]],Tasks[[#This Row],[_AlapShift]],WorkWeek,Holidays)))</f>
        <v/>
      </c>
      <c r="FB49" s="89" t="str">
        <f aca="false">IF(NOT(Tasks[[#This Row],[_IsLeaf]]=1),"",IF(Tasks[[#This Row],[_AlapShift]]=0,Tasks[[#This Row],[_LeafFcstStart]],WORKDAY.INTL(Tasks[[#This Row],[_LeafFcstStart]],Tasks[[#This Row],[_AlapShift]],WorkWeek,Holidays)))</f>
        <v/>
      </c>
      <c r="FC49" s="89" t="str">
        <f aca="false">IF(NOT(Tasks[[#This Row],[_IsLeaf]]=1),"",IF(Tasks[[#This Row],[_AlapShift]]=0,Tasks[[#This Row],[_LeafFcstFinish]],WORKDAY.INTL(Tasks[[#This Row],[_LeafFcstFinish]],Tasks[[#This Row],[_AlapShift]],WorkWeek,Holidays)))</f>
        <v/>
      </c>
      <c r="FD49" s="89" t="str">
        <f aca="false">IF(Tasks[[#This Row],[Task Name]]="","",IF(Tasks[[#This Row],[_IsSummary]],MIN(INDEX(Tasks[_ShownCalcStart],Tasks[[#This Row],[_Row]]+1):INDEX(Tasks[_ShownCalcStart],Tasks[[#This Row],[_Row]]+Tasks[[#This Row],[_Descendants]])),Tasks[[#This Row],[_ShownCalcStart]]))</f>
        <v/>
      </c>
      <c r="FE49" s="89" t="str">
        <f aca="false">IF(Tasks[[#This Row],[Task Name]]="","",IF(Tasks[[#This Row],[_IsSummary]],MAX(INDEX(Tasks[_ShownCalcFinish],Tasks[[#This Row],[_Row]]+1):INDEX(Tasks[_ShownCalcFinish],Tasks[[#This Row],[_Row]]+Tasks[[#This Row],[_Descendants]])),Tasks[[#This Row],[_ShownCalcFinish]]))</f>
        <v/>
      </c>
      <c r="FF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9" s="42" t="n">
        <f aca="false">IF(AND(Tasks[[#This Row],[_IsLeaf]]=1,Tasks[[#This Row],[_LeafTotalWork]]&gt;0),NETWORKDAYS.INTL(ProjectStart,Tasks[[#This Row],[_ShownFcstStart]],WorkWeek,Holidays),0)</f>
        <v>0</v>
      </c>
      <c r="FS49" s="42" t="n">
        <f aca="false">IF(AND(Tasks[[#This Row],[_IsLeaf]]=1,Tasks[[#This Row],[_LeafTotalWork]]&gt;0),MAX(Tasks[[#This Row],[_StartWorkday]],NETWORKDAYS.INTL(ProjectStart,Tasks[[#This Row],[_ShownFcstFinish]],WorkWeek,Holidays)),0)</f>
        <v>0</v>
      </c>
      <c r="FT49" s="42" t="n">
        <f aca="false">IF(AND(Tasks[[#This Row],[_IsLeaf]]=1,Tasks[[#This Row],[_LeafTotalWork]]&gt;0),Tasks[[#This Row],[_LeafWork]]/(Tasks[[#This Row],[_FinishWorkday]]-Tasks[[#This Row],[_StartWorkday]]+1),0)</f>
        <v>0</v>
      </c>
      <c r="FU49" s="42" t="n">
        <f aca="false">Tasks[[#This Row],[_WorkPerWorkday]]*(Tasks[[#This Row],[_StartWorkday]]-1)</f>
        <v>-0</v>
      </c>
      <c r="FV49" s="42" t="n">
        <f aca="false">IF(Tasks[[#This Row],[_IsLeaf]]=1,MAX(N(Tasks[[#This Row],[_Days]]),0.1),0)</f>
        <v>0</v>
      </c>
      <c r="FW49" s="42" t="n">
        <f aca="false">Tasks[[#This Row],[_WeightDur]]*Tasks[[#This Row],[_LeafProgress]]</f>
        <v>0</v>
      </c>
      <c r="FX49" s="42" t="n">
        <f aca="false">Tasks[[#This Row],[_WeightDur]]*Tasks[[#This Row],[_PlannedPct]]</f>
        <v>0</v>
      </c>
      <c r="FY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9" s="42" t="str">
        <f aca="false">IF(AND(Tasks[[#This Row],[_IsLeaf]]=1,N(Tasks[[#This Row],[_Days]])=0,Tasks[[#This Row],[_LeafProgress]]&lt;1),Tasks[[#This Row],[_ShownFcstFinish]]+Tasks[[#This Row],[_Row]]/100000,"")</f>
        <v/>
      </c>
      <c r="GA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9" s="42" t="str">
        <f aca="false">IF(Tasks[[#This Row],[Task Name]]="","",LEFT(Tasks[[#This Row],[WBS]],FIND(".",Tasks[[#This Row],[WBS]]&amp;".")-1))</f>
        <v/>
      </c>
      <c r="GC49" s="42" t="str">
        <f aca="false">IF(AND(Tasks[[#This Row],[Task Name]]&lt;&gt;"",Tasks[[#This Row],[_Level]]=1),Tasks[[#This Row],[_Row]],"")</f>
        <v/>
      </c>
      <c r="GD49" s="42" t="str">
        <f aca="false">IF(AND(Tasks[[#This Row],[_IsLeaf]]=1,N(Tasks[[#This Row],[_Days]])=0),Tasks[[#This Row],[Planned Finish]]+Tasks[[#This Row],[_Row]]/100000,"")</f>
        <v/>
      </c>
      <c r="GE49" s="42" t="str">
        <f aca="false">IF(AND(Tasks[[#This Row],[_IsLeaf]]=1,Tasks[[#This Row],[_LeafProgress]]&lt;1,OR(N(Tasks[[#This Row],[Finish Var]])&gt;0,Tasks[[#This Row],[Status]]="Late Start")),MAX(0,Tasks[[#This Row],[Finish Var]])+1-Tasks[[#This Row],[_Row]]/1000000,"")</f>
        <v/>
      </c>
      <c r="GF49" s="42" t="str">
        <f aca="false">IF(AND(Tasks[[#This Row],[_IsLeaf]]=1,N(Tasks[[#This Row],[Actual Start]])=0,Tasks[[#This Row],[_ShownFcstStart]]&gt;=StatusDate,Tasks[[#This Row],[_ShownFcstStart]]&lt;=LookaheadEnd),Tasks[[#This Row],[_ShownFcstStart]]+Tasks[[#This Row],[_Row]]/100000,"")</f>
        <v/>
      </c>
      <c r="GG49" s="42" t="str">
        <f aca="false">IF(AND(Tasks[[#This Row],[_IsLeaf]]=1,Tasks[[#This Row],[_LeafProgress]]&lt;1,Tasks[[#This Row],[_ShownFcstFinish]]&gt;=StatusDate,Tasks[[#This Row],[_ShownFcstFinish]]&lt;=LookaheadEnd),Tasks[[#This Row],[_ShownFcstFinish]]+Tasks[[#This Row],[_Row]]/100000,"")</f>
        <v/>
      </c>
      <c r="GH49" s="42" t="str">
        <f aca="false">IF(Tasks[[#This Row],[_LeafCritical]],Tasks[[#This Row],[_ShownFcstStart]]+Tasks[[#This Row],[_Row]]/100000,"")</f>
        <v/>
      </c>
      <c r="GI49" s="42" t="n">
        <f aca="false">Tasks[[#This Row],[_LeafWork]]*Tasks[[#This Row],[_LeafProgress]]</f>
        <v>0</v>
      </c>
      <c r="GJ49" s="89" t="str">
        <f aca="false">IF(AND(Tasks[[#This Row],[_IsLeaf]]=1,Tasks[[#This Row],[_LeafProgress]]&gt;=1),IF(N(Tasks[[#This Row],[Actual Finish]])&gt;0,Tasks[[#This Row],[Actual Finish]],Tasks[[#This Row],[_ShownFcstFinish]]),"")</f>
        <v/>
      </c>
      <c r="GK49" s="42" t="n">
        <f aca="false">IF(Tasks[[#This Row],[_IsLeaf]]=1,N(Tasks[[#This Row],[Story Points]]),0)</f>
        <v>0</v>
      </c>
      <c r="GL49" s="42" t="str">
        <f aca="false">""</f>
        <v/>
      </c>
      <c r="GM49" s="88" t="b">
        <f aca="false">IF(Tasks[[#This Row],[Task Name]]="",FALSE(),AND(Tasks[[#This Row],[_IsLeaf]]=1,N(Tasks[[#This Row],[_Days]])=0))</f>
        <v>0</v>
      </c>
      <c r="GN49" s="89" t="n">
        <f aca="false">IF(Tasks[[#This Row],[Task Name]]="",0,IF(AND(Tasks[[#This Row],[_IsLeaf]]=1,NOT(Tasks[[#This Row],[_IsMilestone]]),N(Tasks[[#This Row],[Progress]])&gt;0),Tasks[[#This Row],[Start]],0))</f>
        <v>0</v>
      </c>
      <c r="GO49" s="89" t="n">
        <f aca="false">IF(Tasks[[#This Row],[_DoneFrom]]=0,0,IF(Tasks[[#This Row],[Progress]]&gt;=1,Tasks[[#This Row],[Finish]],MAX(Tasks[[#This Row],[_DoneFrom]],Tasks[[#This Row],[Start]]+ROUND((Tasks[[#This Row],[Finish]]-Tasks[[#This Row],[Start]]+1)*Tasks[[#This Row],[Progress]],0)-1)))</f>
        <v>0</v>
      </c>
      <c r="GP49" s="89" t="n">
        <f aca="false">IF(Tasks[[#This Row],[Task Name]]="",0,IF(OR(NOT(Tasks[[#This Row],[_IsLeaf]]=1),Tasks[[#This Row],[_IsMilestone]],N(Tasks[[#This Row],[Progress]])&gt;=1),0,IF(Tasks[[#This Row],[_DoneTo]]&gt;0,Tasks[[#This Row],[_DoneTo]]+1,Tasks[[#This Row],[Start]])))</f>
        <v>0</v>
      </c>
      <c r="GQ49" s="89" t="n">
        <f aca="false">IF(Tasks[[#This Row],[_RemFrom]]=0,0,Tasks[[#This Row],[Finish]])</f>
        <v>0</v>
      </c>
      <c r="GR49" s="88" t="b">
        <f aca="false">IF(Tasks[[#This Row],[Task Name]]="",FALSE(),OR(NOT(BaselineSet),N(Tasks[[#This Row],[Baseline Start]])&gt;0))</f>
        <v>0</v>
      </c>
      <c r="GS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9" s="90" t="str">
        <f aca="false">IF(Tasks[[#This Row],[_IsLeaf]]=1,Tasks[[#This Row],[_Row]],"")</f>
        <v/>
      </c>
      <c r="GW49" s="90" t="str">
        <f aca="false">IFERROR(INDEX(Tasks[UID],SMALL(Tasks[_PickKey],Tasks[[#This Row],[_Row]]))&amp;" "&amp;INDEX(Tasks[Task Name],SMALL(Tasks[_PickKey],Tasks[[#This Row],[_Row]])),"")</f>
        <v/>
      </c>
      <c r="GX49" s="42" t="str">
        <f aca="false">IF(Tasks[[#This Row],[Task Name]]="","",IF(Tasks[[#This Row],[_IsSummary]],NETWORKDAYS.INTL(Tasks[[#This Row],[Start]],Tasks[[#This Row],[Finish]],WorkWeek,Holidays),N(Tasks[[#This Row],[_Days]])))</f>
        <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3"/>
      <c r="U50" s="23"/>
      <c r="V50" s="83"/>
      <c r="W50" s="23"/>
      <c r="X50" s="83"/>
      <c r="Y50" s="23"/>
      <c r="Z50" s="83"/>
      <c r="AA50" s="23"/>
      <c r="AB50" s="23"/>
      <c r="AC50" s="7"/>
      <c r="AD50" s="7"/>
      <c r="AE50" s="62" t="str">
        <f aca="false">IF(Tasks[[#This Row],[Task Name]]="","",IF(Tasks[[#This Row],[_IsSummary]],MIN(INDEX(Tasks[_ShownFcstStart],Tasks[[#This Row],[_Row]]+1):INDEX(Tasks[_ShownFcstStart],Tasks[[#This Row],[_Row]]+Tasks[[#This Row],[_Descendants]])),Tasks[[#This Row],[_ShownFcstStart]]))</f>
        <v/>
      </c>
      <c r="AF50" s="62"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0" s="7"/>
      <c r="AK50" s="22"/>
      <c r="AL50" s="23"/>
      <c r="AM50" s="7"/>
      <c r="AN50" s="46"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2" t="str">
        <f aca="false">IF(Tasks[[#This Row],[Task Name]]="","",IF(N(Tasks[[#This Row],[Baseline Start]])&gt;0,Tasks[[#This Row],[Baseline Start]],Tasks[[#This Row],[_CalcStart]]))</f>
        <v/>
      </c>
      <c r="AR50" s="62" t="str">
        <f aca="false">IF(Tasks[[#This Row],[Task Name]]="","",IF(N(Tasks[[#This Row],[Baseline Finish]])&gt;0,Tasks[[#This Row],[Baseline Finish]],Tasks[[#This Row],[_CalcFinish]]))</f>
        <v/>
      </c>
      <c r="AS50" s="46" t="str">
        <f aca="false">IF(Tasks[[#This Row],[Task Name]]="","",IF(Tasks[[#This Row],[Start]]&gt;=Tasks[[#This Row],[Planned Start]],NETWORKDAYS.INTL(Tasks[[#This Row],[Planned Start]],Tasks[[#This Row],[Start]],WorkWeek,Holidays)-1,1-NETWORKDAYS.INTL(Tasks[[#This Row],[Start]],Tasks[[#This Row],[Planned Start]],WorkWeek,Holidays)))</f>
        <v/>
      </c>
      <c r="AT50" s="62" t="str">
        <f aca="false">IF(Tasks[[#This Row],[Task Name]]="","",IF(Tasks[[#This Row],[_IsSummary]],MIN(INDEX(Tasks[_LeafLateStart],Tasks[[#This Row],[_Row]]+1):INDEX(Tasks[_LeafLateStart],Tasks[[#This Row],[_Row]]+Tasks[[#This Row],[_Descendants]])),Tasks[[#This Row],[_LeafLateStart]]))</f>
        <v/>
      </c>
      <c r="AU50" s="62" t="str">
        <f aca="false">IF(Tasks[[#This Row],[Task Name]]="","",IF(Tasks[[#This Row],[_IsSummary]],MAX(INDEX(Tasks[_LeafLateFinish],Tasks[[#This Row],[_Row]]+1):INDEX(Tasks[_LeafLateFinish],Tasks[[#This Row],[_Row]]+Tasks[[#This Row],[_Descendants]])),Tasks[[#This Row],[_LeafLateFinish]]))</f>
        <v/>
      </c>
      <c r="AV50" s="46"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4"/>
      <c r="BA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5"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6"/>
      <c r="BJ50" s="22"/>
      <c r="BK50" s="46" t="str">
        <f aca="false">IF(OR(Tasks[[#This Row],[Task Name]]="",Tasks[[#This Row],[Baseline Duration]]=""),"",Tasks[[#This Row],[_SpanDays]]-N(Tasks[[#This Row],[Baseline Duration]]))</f>
        <v/>
      </c>
      <c r="BL50" s="85" t="str">
        <f aca="false">IF(OR(Tasks[[#This Row],[Task Name]]="",Tasks[[#This Row],[Baseline Work]]=""),"",Tasks[[#This Row],[Work]]-N(Tasks[[#This Row],[Baseline Work]]))</f>
        <v/>
      </c>
      <c r="BM50" s="62" t="str">
        <f aca="false">IF(Tasks[[#This Row],[Task Name]]="","",IF(OR(TakeBaseline="Yes",N(Tasks[[#This Row],[Baseline Start]])=0),Tasks[[#This Row],[Start]],Tasks[[#This Row],[Baseline Start]]))</f>
        <v/>
      </c>
      <c r="BN50" s="62"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5" t="str">
        <f aca="false">IF(Tasks[[#This Row],[Task Name]]="","",IF(OR(TakeBaseline="Yes",N(Tasks[[#This Row],[Baseline Work]])=0),Tasks[[#This Row],[Work]],Tasks[[#This Row],[Baseline Work]]))</f>
        <v/>
      </c>
      <c r="BQ50" s="7"/>
      <c r="BR50" s="7"/>
      <c r="BS50" s="22"/>
      <c r="BT50" s="87"/>
      <c r="BU50" s="42" t="str">
        <f aca="false">IF(Tasks[[#This Row],[Task Name]]="","",MAX(1,N(Tasks[[#This Row],[Level]])))</f>
        <v/>
      </c>
      <c r="BV50" s="42" t="n">
        <f aca="false">ROW()-ROW(Tasks[[#Headers],[ID]])</f>
        <v>45</v>
      </c>
      <c r="BW50" s="42" t="n">
        <f aca="false">IF(OR(Tasks[[#This Row],[Task Name]]="",Tasks[[#This Row],[_Level]]&lt;=1),0,IFERROR(LOOKUP(2,1/(Tasks[[#Headers],[_Level]]:Tasks[[#This Row],[_Level]]=Tasks[[#This Row],[_Level]]-1),ROW(Tasks[[#Headers],[_Level]]:Tasks[[#This Row],[_Level]])),0))</f>
        <v>0</v>
      </c>
      <c r="BX50" s="42" t="n">
        <f aca="false">IFERROR(N(INDEX(Tasks[_Level],Tasks[[#This Row],[_Row]]+1)),0)</f>
        <v>0</v>
      </c>
      <c r="BY50" s="88" t="b">
        <f aca="false">AND(Tasks[[#This Row],[Task Name]]&lt;&gt;"",Tasks[[#This Row],[_NextLevel]]&gt;Tasks[[#This Row],[_Level]])</f>
        <v>0</v>
      </c>
      <c r="BZ50" s="42" t="n">
        <f aca="false">IF(Tasks[[#This Row],[_IsSummary]],COUNTIF(Tasks[WBS],Tasks[[#This Row],[WBS]]&amp;".*"),0)</f>
        <v>0</v>
      </c>
      <c r="CA50" s="42" t="n">
        <f aca="false">IF(AND(Tasks[[#This Row],[Task Name]]&lt;&gt;"",NOT(Tasks[[#This Row],[_IsSummary]])),1,0)</f>
        <v>0</v>
      </c>
      <c r="CB50" s="42" t="n">
        <f aca="false">IF(N(Tasks[[#This Row],[_Pred1UID]])=0,0,IFERROR(MATCH(Tasks[[#This Row],[_Pred1UID]],Tasks[UID],0),-1))</f>
        <v>0</v>
      </c>
      <c r="CC50" s="42" t="n">
        <f aca="false">IF(N(Tasks[[#This Row],[_Pred2UID]])=0,0,IFERROR(MATCH(Tasks[[#This Row],[_Pred2UID]],Tasks[UID],0),-1))</f>
        <v>0</v>
      </c>
      <c r="CD50" s="42" t="n">
        <f aca="false">IF(N(Tasks[[#This Row],[_Pred3UID]])=0,0,IFERROR(MATCH(Tasks[[#This Row],[_Pred3UID]],Tasks[UID],0),-1))</f>
        <v>0</v>
      </c>
      <c r="CE50" s="42" t="n">
        <f aca="false">IF(N(Tasks[[#This Row],[_Pred4UID]])=0,0,IFERROR(MATCH(Tasks[[#This Row],[_Pred4UID]],Tasks[UID],0),-1))</f>
        <v>0</v>
      </c>
      <c r="CF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0" s="89" t="n">
        <f aca="false">IF(OR(Tasks[[#This Row],[_ConstraintCode]]=2,Tasks[[#This Row],[_ConstraintCode]]=3,Tasks[[#This Row],[_ConstraintCode]]=4,Tasks[[#This Row],[_ConstraintCode]]=6),Tasks[[#This Row],[_ConstraintStart]],0)</f>
        <v>0</v>
      </c>
      <c r="CI50" s="89" t="n">
        <f aca="false">IF(OR(Tasks[[#This Row],[_ConstraintCode]]=2,Tasks[[#This Row],[_ConstraintCode]]=3,Tasks[[#This Row],[_ConstraintCode]]=5,Tasks[[#This Row],[_ConstraintCode]]=7),Tasks[[#This Row],[_ConstraintStart]],2958465)</f>
        <v>2958465</v>
      </c>
      <c r="CJ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0" s="89" t="str">
        <f aca="false">IF(NOT(Tasks[[#This Row],[_IsLeaf]]=1),"",IF(N(Tasks[[#This Row],[_Days]])&lt;=0,Tasks[[#This Row],[_LeafCalcStart]],WORKDAY.INTL(Tasks[[#This Row],[_LeafCalcStart]],Tasks[[#This Row],[_Days]]-1,WorkWeek,Holidays)))</f>
        <v/>
      </c>
      <c r="CL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0" s="42" t="str">
        <f aca="false">IF(Tasks[[#This Row],[_Predecessors]]="","",TRIM(MID(SUBSTITUTE(SUBSTITUTE(SUBSTITUTE(UPPER(Tasks[[#This Row],[_Predecessors]]),";",",")," ",""),",",REPT(" ",99)),1,99)))</f>
        <v/>
      </c>
      <c r="CO50" s="42" t="str">
        <f aca="false">IF(Tasks[[#This Row],[_Pred1Text]]="","",IFERROR(VALUE(LEFT(Tasks[[#This Row],[_Pred1Text]],MIN(FIND("F",Tasks[[#This Row],[_Pred1Text]]&amp;"F"),FIND("S",Tasks[[#This Row],[_Pred1Text]]&amp;"S"),FIND("+",Tasks[[#This Row],[_Pred1Text]]&amp;"+"),FIND("-",Tasks[[#This Row],[_Pred1Text]]&amp;"-"))-1)),""))</f>
        <v/>
      </c>
      <c r="CP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0" s="42" t="str">
        <f aca="false">IF(Tasks[[#This Row],[_Pred1Text]]="","",TRIM(MID(SUBSTITUTE(SUBSTITUTE(SUBSTITUTE(UPPER(Tasks[[#This Row],[_Predecessors]]),";",",")," ",""),",",REPT(" ",99)),100,99)))</f>
        <v/>
      </c>
      <c r="CS50" s="42" t="str">
        <f aca="false">IF(Tasks[[#This Row],[_Pred2Text]]="","",IFERROR(VALUE(LEFT(Tasks[[#This Row],[_Pred2Text]],MIN(FIND("F",Tasks[[#This Row],[_Pred2Text]]&amp;"F"),FIND("S",Tasks[[#This Row],[_Pred2Text]]&amp;"S"),FIND("+",Tasks[[#This Row],[_Pred2Text]]&amp;"+"),FIND("-",Tasks[[#This Row],[_Pred2Text]]&amp;"-"))-1)),""))</f>
        <v/>
      </c>
      <c r="CT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0" s="42" t="str">
        <f aca="false">IF(Tasks[[#This Row],[_Pred2Text]]="","",TRIM(MID(SUBSTITUTE(SUBSTITUTE(SUBSTITUTE(UPPER(Tasks[[#This Row],[_Predecessors]]),";",",")," ",""),",",REPT(" ",99)),199,99)))</f>
        <v/>
      </c>
      <c r="CW50" s="42" t="str">
        <f aca="false">IF(Tasks[[#This Row],[_Pred3Text]]="","",IFERROR(VALUE(LEFT(Tasks[[#This Row],[_Pred3Text]],MIN(FIND("F",Tasks[[#This Row],[_Pred3Text]]&amp;"F"),FIND("S",Tasks[[#This Row],[_Pred3Text]]&amp;"S"),FIND("+",Tasks[[#This Row],[_Pred3Text]]&amp;"+"),FIND("-",Tasks[[#This Row],[_Pred3Text]]&amp;"-"))-1)),""))</f>
        <v/>
      </c>
      <c r="CX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0" s="42" t="str">
        <f aca="false">IF(Tasks[[#This Row],[_Pred3Text]]="","",TRIM(MID(SUBSTITUTE(SUBSTITUTE(SUBSTITUTE(UPPER(Tasks[[#This Row],[_Predecessors]]),";",",")," ",""),",",REPT(" ",99)),298,99)))</f>
        <v/>
      </c>
      <c r="DA50" s="42" t="str">
        <f aca="false">IF(Tasks[[#This Row],[_Pred4Text]]="","",IFERROR(VALUE(LEFT(Tasks[[#This Row],[_Pred4Text]],MIN(FIND("F",Tasks[[#This Row],[_Pred4Text]]&amp;"F"),FIND("S",Tasks[[#This Row],[_Pred4Text]]&amp;"S"),FIND("+",Tasks[[#This Row],[_Pred4Text]]&amp;"+"),FIND("-",Tasks[[#This Row],[_Pred4Text]]&amp;"-"))-1)),""))</f>
        <v/>
      </c>
      <c r="DB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0" s="42" t="str">
        <f aca="false">IF(OR(Tasks[[#This Row],[Task Name]]="",Tasks[[#This Row],[_Resources]]=""),"",TRIM(MID(SUBSTITUTE(Tasks[[#This Row],[_Resources]],",",REPT(" ",99)),1,99)))</f>
        <v/>
      </c>
      <c r="DE50" s="42" t="str">
        <f aca="false">IF(Tasks[[#This Row],[_Res1Text]]="","",TRIM(MID(SUBSTITUTE(Tasks[[#This Row],[_Resources]],",",REPT(" ",99)),100,99)))</f>
        <v/>
      </c>
      <c r="DF50" s="42" t="str">
        <f aca="false">IF(Tasks[[#This Row],[_Res2Text]]="","",TRIM(MID(SUBSTITUTE(Tasks[[#This Row],[_Resources]],",",REPT(" ",99)),199,99)))</f>
        <v/>
      </c>
      <c r="DG50" s="42" t="str">
        <f aca="false">IF(Tasks[[#This Row],[_Res3Text]]="","",TRIM(MID(SUBSTITUTE(Tasks[[#This Row],[_Resources]],",",REPT(" ",99)),298,99)))</f>
        <v/>
      </c>
      <c r="DH50" s="42" t="n">
        <f aca="false">IF(Tasks[[#This Row],[_Res1Text]]="",0,IFERROR(MATCH(TRIM(LEFT(Tasks[[#This Row],[_Res1Text]],FIND("[",Tasks[[#This Row],[_Res1Text]]&amp;"[")-1)),res_Name,0),IFERROR(MATCH(TRIM(LEFT(Tasks[[#This Row],[_Res1Text]],FIND("[",Tasks[[#This Row],[_Res1Text]]&amp;"[")-1)),res_Initials,0),0)))</f>
        <v>0</v>
      </c>
      <c r="DI50" s="42" t="n">
        <f aca="false">IF(Tasks[[#This Row],[_Res2Text]]="",0,IFERROR(MATCH(TRIM(LEFT(Tasks[[#This Row],[_Res2Text]],FIND("[",Tasks[[#This Row],[_Res2Text]]&amp;"[")-1)),res_Name,0),IFERROR(MATCH(TRIM(LEFT(Tasks[[#This Row],[_Res2Text]],FIND("[",Tasks[[#This Row],[_Res2Text]]&amp;"[")-1)),res_Initials,0),0)))</f>
        <v>0</v>
      </c>
      <c r="DJ50" s="42" t="n">
        <f aca="false">IF(Tasks[[#This Row],[_Res3Text]]="",0,IFERROR(MATCH(TRIM(LEFT(Tasks[[#This Row],[_Res3Text]],FIND("[",Tasks[[#This Row],[_Res3Text]]&amp;"[")-1)),res_Name,0),IFERROR(MATCH(TRIM(LEFT(Tasks[[#This Row],[_Res3Text]],FIND("[",Tasks[[#This Row],[_Res3Text]]&amp;"[")-1)),res_Initials,0),0)))</f>
        <v>0</v>
      </c>
      <c r="DK50" s="42" t="n">
        <f aca="false">IF(Tasks[[#This Row],[_Res4Text]]="",0,IFERROR(MATCH(TRIM(LEFT(Tasks[[#This Row],[_Res4Text]],FIND("[",Tasks[[#This Row],[_Res4Text]]&amp;"[")-1)),res_Name,0),IFERROR(MATCH(TRIM(LEFT(Tasks[[#This Row],[_Res4Text]],FIND("[",Tasks[[#This Row],[_Res4Text]]&amp;"[")-1)),res_Initials,0),0)))</f>
        <v>0</v>
      </c>
      <c r="DL50" s="42" t="str">
        <f aca="false">IF(Tasks[[#This Row],[_Res1Text]]="","",IF(Tasks[[#This Row],[_Res1Row]]&gt;0,INDEX(res_Name,Tasks[[#This Row],[_Res1Row]]),TRIM(LEFT(Tasks[[#This Row],[_Res1Text]],FIND("[",Tasks[[#This Row],[_Res1Text]]&amp;"[")-1))))</f>
        <v/>
      </c>
      <c r="DM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0" s="42" t="n">
        <f aca="false">IF(NOT(Tasks[[#This Row],[_IsLeaf]]=1),0,(Tasks[[#This Row],[_Resource1]]&lt;&gt;"")+(Tasks[[#This Row],[_Res2]]&lt;&gt;"")+(Tasks[[#This Row],[_Res3]]&lt;&gt;"")+(Tasks[[#This Row],[_Res4]]&lt;&gt;""))</f>
        <v>0</v>
      </c>
      <c r="DO50" s="42" t="str">
        <f aca="false">IF(Tasks[[#This Row],[_Res2Text]]="","",IF(Tasks[[#This Row],[_Res2Row]]&gt;0,INDEX(res_Name,Tasks[[#This Row],[_Res2Row]]),TRIM(LEFT(Tasks[[#This Row],[_Res2Text]],FIND("[",Tasks[[#This Row],[_Res2Text]]&amp;"[")-1))))</f>
        <v/>
      </c>
      <c r="DP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0" s="42" t="n">
        <f aca="false">IF(OR(NOT(Tasks[[#This Row],[_IsLeaf]]=1),Tasks[[#This Row],[_Res2Row]]=0),0,N(Tasks[[#This Row],[_Days]])*HoursPerDay*IF(Tasks[[#This Row],[_Res2Units]]="",DefaultUnits,Tasks[[#This Row],[_Res2Units]]))</f>
        <v>0</v>
      </c>
      <c r="DR50" s="42" t="n">
        <f aca="false">IF(AND(AND(Tasks[[#This Row],[_IsLeaf]]=1,Tasks[[#This Row],[_LeafTotalWork]]&gt;0),Tasks[[#This Row],[_Res2Work]]&gt;0),Tasks[[#This Row],[_Res2Work]]/(Tasks[[#This Row],[_FinishWorkday]]-Tasks[[#This Row],[_StartWorkday]]+1),0)</f>
        <v>0</v>
      </c>
      <c r="DS50" s="42" t="n">
        <f aca="false">Tasks[[#This Row],[_Res2WorkPerWD]]*MAX(0,Tasks[[#This Row],[_StartWorkday]]-1)</f>
        <v>0</v>
      </c>
      <c r="DT50" s="42" t="n">
        <f aca="false">Tasks[[#This Row],[_Res2Work]]*Tasks[[#This Row],[_LeafProgress]]</f>
        <v>0</v>
      </c>
      <c r="DU50" s="42" t="str">
        <f aca="false">IF(Tasks[[#This Row],[_Res3Text]]="","",IF(Tasks[[#This Row],[_Res3Row]]&gt;0,INDEX(res_Name,Tasks[[#This Row],[_Res3Row]]),TRIM(LEFT(Tasks[[#This Row],[_Res3Text]],FIND("[",Tasks[[#This Row],[_Res3Text]]&amp;"[")-1))))</f>
        <v/>
      </c>
      <c r="DV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0" s="42" t="n">
        <f aca="false">IF(OR(NOT(Tasks[[#This Row],[_IsLeaf]]=1),Tasks[[#This Row],[_Res3Row]]=0),0,N(Tasks[[#This Row],[_Days]])*HoursPerDay*IF(Tasks[[#This Row],[_Res3Units]]="",DefaultUnits,Tasks[[#This Row],[_Res3Units]]))</f>
        <v>0</v>
      </c>
      <c r="DX50" s="42" t="n">
        <f aca="false">IF(AND(AND(Tasks[[#This Row],[_IsLeaf]]=1,Tasks[[#This Row],[_LeafTotalWork]]&gt;0),Tasks[[#This Row],[_Res3Work]]&gt;0),Tasks[[#This Row],[_Res3Work]]/(Tasks[[#This Row],[_FinishWorkday]]-Tasks[[#This Row],[_StartWorkday]]+1),0)</f>
        <v>0</v>
      </c>
      <c r="DY50" s="42" t="n">
        <f aca="false">Tasks[[#This Row],[_Res3WorkPerWD]]*MAX(0,Tasks[[#This Row],[_StartWorkday]]-1)</f>
        <v>0</v>
      </c>
      <c r="DZ50" s="42" t="n">
        <f aca="false">Tasks[[#This Row],[_Res3Work]]*Tasks[[#This Row],[_LeafProgress]]</f>
        <v>0</v>
      </c>
      <c r="EA50" s="42" t="str">
        <f aca="false">IF(Tasks[[#This Row],[_Res4Text]]="","",IF(Tasks[[#This Row],[_Res4Row]]&gt;0,INDEX(res_Name,Tasks[[#This Row],[_Res4Row]]),TRIM(LEFT(Tasks[[#This Row],[_Res4Text]],FIND("[",Tasks[[#This Row],[_Res4Text]]&amp;"[")-1))))</f>
        <v/>
      </c>
      <c r="EB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0" s="42" t="n">
        <f aca="false">IF(OR(NOT(Tasks[[#This Row],[_IsLeaf]]=1),Tasks[[#This Row],[_Res4Row]]=0),0,N(Tasks[[#This Row],[_Days]])*HoursPerDay*IF(Tasks[[#This Row],[_Res4Units]]="",DefaultUnits,Tasks[[#This Row],[_Res4Units]]))</f>
        <v>0</v>
      </c>
      <c r="ED50" s="42" t="n">
        <f aca="false">IF(AND(AND(Tasks[[#This Row],[_IsLeaf]]=1,Tasks[[#This Row],[_LeafTotalWork]]&gt;0),Tasks[[#This Row],[_Res4Work]]&gt;0),Tasks[[#This Row],[_Res4Work]]/(Tasks[[#This Row],[_FinishWorkday]]-Tasks[[#This Row],[_StartWorkday]]+1),0)</f>
        <v>0</v>
      </c>
      <c r="EE50" s="42" t="n">
        <f aca="false">Tasks[[#This Row],[_Res4WorkPerWD]]*MAX(0,Tasks[[#This Row],[_StartWorkday]]-1)</f>
        <v>0</v>
      </c>
      <c r="EF50" s="42" t="n">
        <f aca="false">Tasks[[#This Row],[_Res4Work]]*Tasks[[#This Row],[_LeafProgress]]</f>
        <v>0</v>
      </c>
      <c r="EG50" s="42" t="n">
        <f aca="false">IF(ISNUMBER(Tasks[[#This Row],[% Complete]]),Tasks[[#This Row],[% Complete]],IF(Tasks[[#This Row],[Stage]]="",0,IFERROR(INDEX(stg_Pct,MATCH(Tasks[[#This Row],[Stage]],stg_Name,0)),0)))</f>
        <v>0</v>
      </c>
      <c r="EH50" s="42" t="n">
        <f aca="false">IF(NOT(Tasks[[#This Row],[_IsLeaf]]=1),0,IF(N(Tasks[[#This Row],[Actual Finish]])&gt;0,1,MIN(1,Tasks[[#This Row],[_Pct]])))</f>
        <v>0</v>
      </c>
      <c r="EI50" s="42" t="n">
        <f aca="false">IF(OR(NOT(Tasks[[#This Row],[_IsLeaf]]=1),Tasks[[#This Row],[_Res1Row]]=0),0,N(Tasks[[#This Row],[_Days]])*HoursPerDay*IF(Tasks[[#This Row],[_Units1]]="",DefaultUnits,Tasks[[#This Row],[_Units1]]))</f>
        <v>0</v>
      </c>
      <c r="EJ50" s="42" t="n">
        <f aca="false">Tasks[[#This Row],[_LeafWork]]+Tasks[[#This Row],[_Res2Work]]+Tasks[[#This Row],[_Res3Work]]+Tasks[[#This Row],[_Res4Work]]</f>
        <v>0</v>
      </c>
      <c r="EK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0" s="42" t="n">
        <f aca="false">IF(NOT(Tasks[[#This Row],[_IsLeaf]]=1),0,MAX(_xlfn.MAXIFS(Tasks[_Row],Tasks[_Pred1UID],Tasks[[#This Row],[UID]]),_xlfn.MAXIFS(Tasks[_Row],Tasks[_Pred2UID],Tasks[[#This Row],[UID]]),_xlfn.MAXIFS(Tasks[_Row],Tasks[_Pred3UID],Tasks[[#This Row],[UID]]),_xlfn.MAXIFS(Tasks[_Row],Tasks[_Pred4UID],Tasks[[#This Row],[UID]])))</f>
        <v>0</v>
      </c>
      <c r="ET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0" s="89" t="str">
        <f aca="false">IF(NOT(Tasks[[#This Row],[_IsLeaf]]=1),"",IF(N(Tasks[[#This Row],[_Days]])&lt;=0,Tasks[[#This Row],[_LeafLateFinish]],WORKDAY.INTL(Tasks[[#This Row],[_LeafLateFinish]],-(Tasks[[#This Row],[_Days]]-1),WorkWeek,Holidays)))</f>
        <v/>
      </c>
      <c r="EW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0" s="88" t="b">
        <f aca="false">AND(Tasks[[#This Row],[_IsLeaf]]=1,Tasks[[#This Row],[_LeafProgress]]&lt;1,N(Tasks[[#This Row],[_LeafTotalSlack]])&lt;=CriticalSlackDays)</f>
        <v>0</v>
      </c>
      <c r="EY50" s="42" t="n">
        <f aca="false">IF(AND(Tasks[[#This Row],[_IsLeaf]]=1,Tasks[[#This Row],[_ConstraintCode]]=1,Tasks[[#This Row],[Mode]]&lt;&gt;"Manual",N(Tasks[[#This Row],[Actual Start]])=0),MAX(0,N(Tasks[[#This Row],[Free Slack]])),0)</f>
        <v>0</v>
      </c>
      <c r="EZ50" s="89" t="str">
        <f aca="false">IF(NOT(Tasks[[#This Row],[_IsLeaf]]=1),"",IF(Tasks[[#This Row],[_AlapShift]]=0,Tasks[[#This Row],[_LeafCalcStart]],WORKDAY.INTL(Tasks[[#This Row],[_LeafCalcStart]],Tasks[[#This Row],[_AlapShift]],WorkWeek,Holidays)))</f>
        <v/>
      </c>
      <c r="FA50" s="89" t="str">
        <f aca="false">IF(NOT(Tasks[[#This Row],[_IsLeaf]]=1),"",IF(Tasks[[#This Row],[_AlapShift]]=0,Tasks[[#This Row],[_LeafCalcFinish]],WORKDAY.INTL(Tasks[[#This Row],[_LeafCalcFinish]],Tasks[[#This Row],[_AlapShift]],WorkWeek,Holidays)))</f>
        <v/>
      </c>
      <c r="FB50" s="89" t="str">
        <f aca="false">IF(NOT(Tasks[[#This Row],[_IsLeaf]]=1),"",IF(Tasks[[#This Row],[_AlapShift]]=0,Tasks[[#This Row],[_LeafFcstStart]],WORKDAY.INTL(Tasks[[#This Row],[_LeafFcstStart]],Tasks[[#This Row],[_AlapShift]],WorkWeek,Holidays)))</f>
        <v/>
      </c>
      <c r="FC50" s="89" t="str">
        <f aca="false">IF(NOT(Tasks[[#This Row],[_IsLeaf]]=1),"",IF(Tasks[[#This Row],[_AlapShift]]=0,Tasks[[#This Row],[_LeafFcstFinish]],WORKDAY.INTL(Tasks[[#This Row],[_LeafFcstFinish]],Tasks[[#This Row],[_AlapShift]],WorkWeek,Holidays)))</f>
        <v/>
      </c>
      <c r="FD50" s="89" t="str">
        <f aca="false">IF(Tasks[[#This Row],[Task Name]]="","",IF(Tasks[[#This Row],[_IsSummary]],MIN(INDEX(Tasks[_ShownCalcStart],Tasks[[#This Row],[_Row]]+1):INDEX(Tasks[_ShownCalcStart],Tasks[[#This Row],[_Row]]+Tasks[[#This Row],[_Descendants]])),Tasks[[#This Row],[_ShownCalcStart]]))</f>
        <v/>
      </c>
      <c r="FE50" s="89" t="str">
        <f aca="false">IF(Tasks[[#This Row],[Task Name]]="","",IF(Tasks[[#This Row],[_IsSummary]],MAX(INDEX(Tasks[_ShownCalcFinish],Tasks[[#This Row],[_Row]]+1):INDEX(Tasks[_ShownCalcFinish],Tasks[[#This Row],[_Row]]+Tasks[[#This Row],[_Descendants]])),Tasks[[#This Row],[_ShownCalcFinish]]))</f>
        <v/>
      </c>
      <c r="FF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0" s="42" t="n">
        <f aca="false">IF(AND(Tasks[[#This Row],[_IsLeaf]]=1,Tasks[[#This Row],[_LeafTotalWork]]&gt;0),NETWORKDAYS.INTL(ProjectStart,Tasks[[#This Row],[_ShownFcstStart]],WorkWeek,Holidays),0)</f>
        <v>0</v>
      </c>
      <c r="FS50" s="42" t="n">
        <f aca="false">IF(AND(Tasks[[#This Row],[_IsLeaf]]=1,Tasks[[#This Row],[_LeafTotalWork]]&gt;0),MAX(Tasks[[#This Row],[_StartWorkday]],NETWORKDAYS.INTL(ProjectStart,Tasks[[#This Row],[_ShownFcstFinish]],WorkWeek,Holidays)),0)</f>
        <v>0</v>
      </c>
      <c r="FT50" s="42" t="n">
        <f aca="false">IF(AND(Tasks[[#This Row],[_IsLeaf]]=1,Tasks[[#This Row],[_LeafTotalWork]]&gt;0),Tasks[[#This Row],[_LeafWork]]/(Tasks[[#This Row],[_FinishWorkday]]-Tasks[[#This Row],[_StartWorkday]]+1),0)</f>
        <v>0</v>
      </c>
      <c r="FU50" s="42" t="n">
        <f aca="false">Tasks[[#This Row],[_WorkPerWorkday]]*(Tasks[[#This Row],[_StartWorkday]]-1)</f>
        <v>-0</v>
      </c>
      <c r="FV50" s="42" t="n">
        <f aca="false">IF(Tasks[[#This Row],[_IsLeaf]]=1,MAX(N(Tasks[[#This Row],[_Days]]),0.1),0)</f>
        <v>0</v>
      </c>
      <c r="FW50" s="42" t="n">
        <f aca="false">Tasks[[#This Row],[_WeightDur]]*Tasks[[#This Row],[_LeafProgress]]</f>
        <v>0</v>
      </c>
      <c r="FX50" s="42" t="n">
        <f aca="false">Tasks[[#This Row],[_WeightDur]]*Tasks[[#This Row],[_PlannedPct]]</f>
        <v>0</v>
      </c>
      <c r="FY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0" s="42" t="str">
        <f aca="false">IF(AND(Tasks[[#This Row],[_IsLeaf]]=1,N(Tasks[[#This Row],[_Days]])=0,Tasks[[#This Row],[_LeafProgress]]&lt;1),Tasks[[#This Row],[_ShownFcstFinish]]+Tasks[[#This Row],[_Row]]/100000,"")</f>
        <v/>
      </c>
      <c r="GA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0" s="42" t="str">
        <f aca="false">IF(Tasks[[#This Row],[Task Name]]="","",LEFT(Tasks[[#This Row],[WBS]],FIND(".",Tasks[[#This Row],[WBS]]&amp;".")-1))</f>
        <v/>
      </c>
      <c r="GC50" s="42" t="str">
        <f aca="false">IF(AND(Tasks[[#This Row],[Task Name]]&lt;&gt;"",Tasks[[#This Row],[_Level]]=1),Tasks[[#This Row],[_Row]],"")</f>
        <v/>
      </c>
      <c r="GD50" s="42" t="str">
        <f aca="false">IF(AND(Tasks[[#This Row],[_IsLeaf]]=1,N(Tasks[[#This Row],[_Days]])=0),Tasks[[#This Row],[Planned Finish]]+Tasks[[#This Row],[_Row]]/100000,"")</f>
        <v/>
      </c>
      <c r="GE50" s="42" t="str">
        <f aca="false">IF(AND(Tasks[[#This Row],[_IsLeaf]]=1,Tasks[[#This Row],[_LeafProgress]]&lt;1,OR(N(Tasks[[#This Row],[Finish Var]])&gt;0,Tasks[[#This Row],[Status]]="Late Start")),MAX(0,Tasks[[#This Row],[Finish Var]])+1-Tasks[[#This Row],[_Row]]/1000000,"")</f>
        <v/>
      </c>
      <c r="GF50" s="42" t="str">
        <f aca="false">IF(AND(Tasks[[#This Row],[_IsLeaf]]=1,N(Tasks[[#This Row],[Actual Start]])=0,Tasks[[#This Row],[_ShownFcstStart]]&gt;=StatusDate,Tasks[[#This Row],[_ShownFcstStart]]&lt;=LookaheadEnd),Tasks[[#This Row],[_ShownFcstStart]]+Tasks[[#This Row],[_Row]]/100000,"")</f>
        <v/>
      </c>
      <c r="GG50" s="42" t="str">
        <f aca="false">IF(AND(Tasks[[#This Row],[_IsLeaf]]=1,Tasks[[#This Row],[_LeafProgress]]&lt;1,Tasks[[#This Row],[_ShownFcstFinish]]&gt;=StatusDate,Tasks[[#This Row],[_ShownFcstFinish]]&lt;=LookaheadEnd),Tasks[[#This Row],[_ShownFcstFinish]]+Tasks[[#This Row],[_Row]]/100000,"")</f>
        <v/>
      </c>
      <c r="GH50" s="42" t="str">
        <f aca="false">IF(Tasks[[#This Row],[_LeafCritical]],Tasks[[#This Row],[_ShownFcstStart]]+Tasks[[#This Row],[_Row]]/100000,"")</f>
        <v/>
      </c>
      <c r="GI50" s="42" t="n">
        <f aca="false">Tasks[[#This Row],[_LeafWork]]*Tasks[[#This Row],[_LeafProgress]]</f>
        <v>0</v>
      </c>
      <c r="GJ50" s="89" t="str">
        <f aca="false">IF(AND(Tasks[[#This Row],[_IsLeaf]]=1,Tasks[[#This Row],[_LeafProgress]]&gt;=1),IF(N(Tasks[[#This Row],[Actual Finish]])&gt;0,Tasks[[#This Row],[Actual Finish]],Tasks[[#This Row],[_ShownFcstFinish]]),"")</f>
        <v/>
      </c>
      <c r="GK50" s="42" t="n">
        <f aca="false">IF(Tasks[[#This Row],[_IsLeaf]]=1,N(Tasks[[#This Row],[Story Points]]),0)</f>
        <v>0</v>
      </c>
      <c r="GL50" s="42" t="str">
        <f aca="false">""</f>
        <v/>
      </c>
      <c r="GM50" s="88" t="b">
        <f aca="false">IF(Tasks[[#This Row],[Task Name]]="",FALSE(),AND(Tasks[[#This Row],[_IsLeaf]]=1,N(Tasks[[#This Row],[_Days]])=0))</f>
        <v>0</v>
      </c>
      <c r="GN50" s="89" t="n">
        <f aca="false">IF(Tasks[[#This Row],[Task Name]]="",0,IF(AND(Tasks[[#This Row],[_IsLeaf]]=1,NOT(Tasks[[#This Row],[_IsMilestone]]),N(Tasks[[#This Row],[Progress]])&gt;0),Tasks[[#This Row],[Start]],0))</f>
        <v>0</v>
      </c>
      <c r="GO50" s="89" t="n">
        <f aca="false">IF(Tasks[[#This Row],[_DoneFrom]]=0,0,IF(Tasks[[#This Row],[Progress]]&gt;=1,Tasks[[#This Row],[Finish]],MAX(Tasks[[#This Row],[_DoneFrom]],Tasks[[#This Row],[Start]]+ROUND((Tasks[[#This Row],[Finish]]-Tasks[[#This Row],[Start]]+1)*Tasks[[#This Row],[Progress]],0)-1)))</f>
        <v>0</v>
      </c>
      <c r="GP50" s="89" t="n">
        <f aca="false">IF(Tasks[[#This Row],[Task Name]]="",0,IF(OR(NOT(Tasks[[#This Row],[_IsLeaf]]=1),Tasks[[#This Row],[_IsMilestone]],N(Tasks[[#This Row],[Progress]])&gt;=1),0,IF(Tasks[[#This Row],[_DoneTo]]&gt;0,Tasks[[#This Row],[_DoneTo]]+1,Tasks[[#This Row],[Start]])))</f>
        <v>0</v>
      </c>
      <c r="GQ50" s="89" t="n">
        <f aca="false">IF(Tasks[[#This Row],[_RemFrom]]=0,0,Tasks[[#This Row],[Finish]])</f>
        <v>0</v>
      </c>
      <c r="GR50" s="88" t="b">
        <f aca="false">IF(Tasks[[#This Row],[Task Name]]="",FALSE(),OR(NOT(BaselineSet),N(Tasks[[#This Row],[Baseline Start]])&gt;0))</f>
        <v>0</v>
      </c>
      <c r="GS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0" s="90" t="str">
        <f aca="false">IF(Tasks[[#This Row],[_IsLeaf]]=1,Tasks[[#This Row],[_Row]],"")</f>
        <v/>
      </c>
      <c r="GW50" s="90" t="str">
        <f aca="false">IFERROR(INDEX(Tasks[UID],SMALL(Tasks[_PickKey],Tasks[[#This Row],[_Row]]))&amp;" "&amp;INDEX(Tasks[Task Name],SMALL(Tasks[_PickKey],Tasks[[#This Row],[_Row]])),"")</f>
        <v/>
      </c>
      <c r="GX50" s="42" t="str">
        <f aca="false">IF(Tasks[[#This Row],[Task Name]]="","",IF(Tasks[[#This Row],[_IsSummary]],NETWORKDAYS.INTL(Tasks[[#This Row],[Start]],Tasks[[#This Row],[Finish]],WorkWeek,Holidays),N(Tasks[[#This Row],[_Days]])))</f>
        <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3"/>
      <c r="U51" s="23"/>
      <c r="V51" s="83"/>
      <c r="W51" s="23"/>
      <c r="X51" s="83"/>
      <c r="Y51" s="23"/>
      <c r="Z51" s="83"/>
      <c r="AA51" s="23"/>
      <c r="AB51" s="23"/>
      <c r="AC51" s="7"/>
      <c r="AD51" s="7"/>
      <c r="AE51" s="62" t="str">
        <f aca="false">IF(Tasks[[#This Row],[Task Name]]="","",IF(Tasks[[#This Row],[_IsSummary]],MIN(INDEX(Tasks[_ShownFcstStart],Tasks[[#This Row],[_Row]]+1):INDEX(Tasks[_ShownFcstStart],Tasks[[#This Row],[_Row]]+Tasks[[#This Row],[_Descendants]])),Tasks[[#This Row],[_ShownFcstStart]]))</f>
        <v/>
      </c>
      <c r="AF51" s="62"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1" s="7"/>
      <c r="AK51" s="22"/>
      <c r="AL51" s="23"/>
      <c r="AM51" s="7"/>
      <c r="AN51" s="46"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2" t="str">
        <f aca="false">IF(Tasks[[#This Row],[Task Name]]="","",IF(N(Tasks[[#This Row],[Baseline Start]])&gt;0,Tasks[[#This Row],[Baseline Start]],Tasks[[#This Row],[_CalcStart]]))</f>
        <v/>
      </c>
      <c r="AR51" s="62" t="str">
        <f aca="false">IF(Tasks[[#This Row],[Task Name]]="","",IF(N(Tasks[[#This Row],[Baseline Finish]])&gt;0,Tasks[[#This Row],[Baseline Finish]],Tasks[[#This Row],[_CalcFinish]]))</f>
        <v/>
      </c>
      <c r="AS51" s="46" t="str">
        <f aca="false">IF(Tasks[[#This Row],[Task Name]]="","",IF(Tasks[[#This Row],[Start]]&gt;=Tasks[[#This Row],[Planned Start]],NETWORKDAYS.INTL(Tasks[[#This Row],[Planned Start]],Tasks[[#This Row],[Start]],WorkWeek,Holidays)-1,1-NETWORKDAYS.INTL(Tasks[[#This Row],[Start]],Tasks[[#This Row],[Planned Start]],WorkWeek,Holidays)))</f>
        <v/>
      </c>
      <c r="AT51" s="62" t="str">
        <f aca="false">IF(Tasks[[#This Row],[Task Name]]="","",IF(Tasks[[#This Row],[_IsSummary]],MIN(INDEX(Tasks[_LeafLateStart],Tasks[[#This Row],[_Row]]+1):INDEX(Tasks[_LeafLateStart],Tasks[[#This Row],[_Row]]+Tasks[[#This Row],[_Descendants]])),Tasks[[#This Row],[_LeafLateStart]]))</f>
        <v/>
      </c>
      <c r="AU51" s="62" t="str">
        <f aca="false">IF(Tasks[[#This Row],[Task Name]]="","",IF(Tasks[[#This Row],[_IsSummary]],MAX(INDEX(Tasks[_LeafLateFinish],Tasks[[#This Row],[_Row]]+1):INDEX(Tasks[_LeafLateFinish],Tasks[[#This Row],[_Row]]+Tasks[[#This Row],[_Descendants]])),Tasks[[#This Row],[_LeafLateFinish]]))</f>
        <v/>
      </c>
      <c r="AV51" s="46"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4"/>
      <c r="BA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5"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6"/>
      <c r="BJ51" s="22"/>
      <c r="BK51" s="46" t="str">
        <f aca="false">IF(OR(Tasks[[#This Row],[Task Name]]="",Tasks[[#This Row],[Baseline Duration]]=""),"",Tasks[[#This Row],[_SpanDays]]-N(Tasks[[#This Row],[Baseline Duration]]))</f>
        <v/>
      </c>
      <c r="BL51" s="85" t="str">
        <f aca="false">IF(OR(Tasks[[#This Row],[Task Name]]="",Tasks[[#This Row],[Baseline Work]]=""),"",Tasks[[#This Row],[Work]]-N(Tasks[[#This Row],[Baseline Work]]))</f>
        <v/>
      </c>
      <c r="BM51" s="62" t="str">
        <f aca="false">IF(Tasks[[#This Row],[Task Name]]="","",IF(OR(TakeBaseline="Yes",N(Tasks[[#This Row],[Baseline Start]])=0),Tasks[[#This Row],[Start]],Tasks[[#This Row],[Baseline Start]]))</f>
        <v/>
      </c>
      <c r="BN51" s="62"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5" t="str">
        <f aca="false">IF(Tasks[[#This Row],[Task Name]]="","",IF(OR(TakeBaseline="Yes",N(Tasks[[#This Row],[Baseline Work]])=0),Tasks[[#This Row],[Work]],Tasks[[#This Row],[Baseline Work]]))</f>
        <v/>
      </c>
      <c r="BQ51" s="7"/>
      <c r="BR51" s="7"/>
      <c r="BS51" s="22"/>
      <c r="BT51" s="87"/>
      <c r="BU51" s="42" t="str">
        <f aca="false">IF(Tasks[[#This Row],[Task Name]]="","",MAX(1,N(Tasks[[#This Row],[Level]])))</f>
        <v/>
      </c>
      <c r="BV51" s="42" t="n">
        <f aca="false">ROW()-ROW(Tasks[[#Headers],[ID]])</f>
        <v>46</v>
      </c>
      <c r="BW51" s="42" t="n">
        <f aca="false">IF(OR(Tasks[[#This Row],[Task Name]]="",Tasks[[#This Row],[_Level]]&lt;=1),0,IFERROR(LOOKUP(2,1/(Tasks[[#Headers],[_Level]]:Tasks[[#This Row],[_Level]]=Tasks[[#This Row],[_Level]]-1),ROW(Tasks[[#Headers],[_Level]]:Tasks[[#This Row],[_Level]])),0))</f>
        <v>0</v>
      </c>
      <c r="BX51" s="42" t="n">
        <f aca="false">IFERROR(N(INDEX(Tasks[_Level],Tasks[[#This Row],[_Row]]+1)),0)</f>
        <v>0</v>
      </c>
      <c r="BY51" s="88" t="b">
        <f aca="false">AND(Tasks[[#This Row],[Task Name]]&lt;&gt;"",Tasks[[#This Row],[_NextLevel]]&gt;Tasks[[#This Row],[_Level]])</f>
        <v>0</v>
      </c>
      <c r="BZ51" s="42" t="n">
        <f aca="false">IF(Tasks[[#This Row],[_IsSummary]],COUNTIF(Tasks[WBS],Tasks[[#This Row],[WBS]]&amp;".*"),0)</f>
        <v>0</v>
      </c>
      <c r="CA51" s="42" t="n">
        <f aca="false">IF(AND(Tasks[[#This Row],[Task Name]]&lt;&gt;"",NOT(Tasks[[#This Row],[_IsSummary]])),1,0)</f>
        <v>0</v>
      </c>
      <c r="CB51" s="42" t="n">
        <f aca="false">IF(N(Tasks[[#This Row],[_Pred1UID]])=0,0,IFERROR(MATCH(Tasks[[#This Row],[_Pred1UID]],Tasks[UID],0),-1))</f>
        <v>0</v>
      </c>
      <c r="CC51" s="42" t="n">
        <f aca="false">IF(N(Tasks[[#This Row],[_Pred2UID]])=0,0,IFERROR(MATCH(Tasks[[#This Row],[_Pred2UID]],Tasks[UID],0),-1))</f>
        <v>0</v>
      </c>
      <c r="CD51" s="42" t="n">
        <f aca="false">IF(N(Tasks[[#This Row],[_Pred3UID]])=0,0,IFERROR(MATCH(Tasks[[#This Row],[_Pred3UID]],Tasks[UID],0),-1))</f>
        <v>0</v>
      </c>
      <c r="CE51" s="42" t="n">
        <f aca="false">IF(N(Tasks[[#This Row],[_Pred4UID]])=0,0,IFERROR(MATCH(Tasks[[#This Row],[_Pred4UID]],Tasks[UID],0),-1))</f>
        <v>0</v>
      </c>
      <c r="CF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1" s="89" t="n">
        <f aca="false">IF(OR(Tasks[[#This Row],[_ConstraintCode]]=2,Tasks[[#This Row],[_ConstraintCode]]=3,Tasks[[#This Row],[_ConstraintCode]]=4,Tasks[[#This Row],[_ConstraintCode]]=6),Tasks[[#This Row],[_ConstraintStart]],0)</f>
        <v>0</v>
      </c>
      <c r="CI51" s="89" t="n">
        <f aca="false">IF(OR(Tasks[[#This Row],[_ConstraintCode]]=2,Tasks[[#This Row],[_ConstraintCode]]=3,Tasks[[#This Row],[_ConstraintCode]]=5,Tasks[[#This Row],[_ConstraintCode]]=7),Tasks[[#This Row],[_ConstraintStart]],2958465)</f>
        <v>2958465</v>
      </c>
      <c r="CJ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1" s="89" t="str">
        <f aca="false">IF(NOT(Tasks[[#This Row],[_IsLeaf]]=1),"",IF(N(Tasks[[#This Row],[_Days]])&lt;=0,Tasks[[#This Row],[_LeafCalcStart]],WORKDAY.INTL(Tasks[[#This Row],[_LeafCalcStart]],Tasks[[#This Row],[_Days]]-1,WorkWeek,Holidays)))</f>
        <v/>
      </c>
      <c r="CL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1" s="42" t="str">
        <f aca="false">IF(Tasks[[#This Row],[_Predecessors]]="","",TRIM(MID(SUBSTITUTE(SUBSTITUTE(SUBSTITUTE(UPPER(Tasks[[#This Row],[_Predecessors]]),";",",")," ",""),",",REPT(" ",99)),1,99)))</f>
        <v/>
      </c>
      <c r="CO51" s="42" t="str">
        <f aca="false">IF(Tasks[[#This Row],[_Pred1Text]]="","",IFERROR(VALUE(LEFT(Tasks[[#This Row],[_Pred1Text]],MIN(FIND("F",Tasks[[#This Row],[_Pred1Text]]&amp;"F"),FIND("S",Tasks[[#This Row],[_Pred1Text]]&amp;"S"),FIND("+",Tasks[[#This Row],[_Pred1Text]]&amp;"+"),FIND("-",Tasks[[#This Row],[_Pred1Text]]&amp;"-"))-1)),""))</f>
        <v/>
      </c>
      <c r="CP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1" s="42" t="str">
        <f aca="false">IF(Tasks[[#This Row],[_Pred1Text]]="","",TRIM(MID(SUBSTITUTE(SUBSTITUTE(SUBSTITUTE(UPPER(Tasks[[#This Row],[_Predecessors]]),";",",")," ",""),",",REPT(" ",99)),100,99)))</f>
        <v/>
      </c>
      <c r="CS51" s="42" t="str">
        <f aca="false">IF(Tasks[[#This Row],[_Pred2Text]]="","",IFERROR(VALUE(LEFT(Tasks[[#This Row],[_Pred2Text]],MIN(FIND("F",Tasks[[#This Row],[_Pred2Text]]&amp;"F"),FIND("S",Tasks[[#This Row],[_Pred2Text]]&amp;"S"),FIND("+",Tasks[[#This Row],[_Pred2Text]]&amp;"+"),FIND("-",Tasks[[#This Row],[_Pred2Text]]&amp;"-"))-1)),""))</f>
        <v/>
      </c>
      <c r="CT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1" s="42" t="str">
        <f aca="false">IF(Tasks[[#This Row],[_Pred2Text]]="","",TRIM(MID(SUBSTITUTE(SUBSTITUTE(SUBSTITUTE(UPPER(Tasks[[#This Row],[_Predecessors]]),";",",")," ",""),",",REPT(" ",99)),199,99)))</f>
        <v/>
      </c>
      <c r="CW51" s="42" t="str">
        <f aca="false">IF(Tasks[[#This Row],[_Pred3Text]]="","",IFERROR(VALUE(LEFT(Tasks[[#This Row],[_Pred3Text]],MIN(FIND("F",Tasks[[#This Row],[_Pred3Text]]&amp;"F"),FIND("S",Tasks[[#This Row],[_Pred3Text]]&amp;"S"),FIND("+",Tasks[[#This Row],[_Pred3Text]]&amp;"+"),FIND("-",Tasks[[#This Row],[_Pred3Text]]&amp;"-"))-1)),""))</f>
        <v/>
      </c>
      <c r="CX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1" s="42" t="str">
        <f aca="false">IF(Tasks[[#This Row],[_Pred3Text]]="","",TRIM(MID(SUBSTITUTE(SUBSTITUTE(SUBSTITUTE(UPPER(Tasks[[#This Row],[_Predecessors]]),";",",")," ",""),",",REPT(" ",99)),298,99)))</f>
        <v/>
      </c>
      <c r="DA51" s="42" t="str">
        <f aca="false">IF(Tasks[[#This Row],[_Pred4Text]]="","",IFERROR(VALUE(LEFT(Tasks[[#This Row],[_Pred4Text]],MIN(FIND("F",Tasks[[#This Row],[_Pred4Text]]&amp;"F"),FIND("S",Tasks[[#This Row],[_Pred4Text]]&amp;"S"),FIND("+",Tasks[[#This Row],[_Pred4Text]]&amp;"+"),FIND("-",Tasks[[#This Row],[_Pred4Text]]&amp;"-"))-1)),""))</f>
        <v/>
      </c>
      <c r="DB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1" s="42" t="str">
        <f aca="false">IF(OR(Tasks[[#This Row],[Task Name]]="",Tasks[[#This Row],[_Resources]]=""),"",TRIM(MID(SUBSTITUTE(Tasks[[#This Row],[_Resources]],",",REPT(" ",99)),1,99)))</f>
        <v/>
      </c>
      <c r="DE51" s="42" t="str">
        <f aca="false">IF(Tasks[[#This Row],[_Res1Text]]="","",TRIM(MID(SUBSTITUTE(Tasks[[#This Row],[_Resources]],",",REPT(" ",99)),100,99)))</f>
        <v/>
      </c>
      <c r="DF51" s="42" t="str">
        <f aca="false">IF(Tasks[[#This Row],[_Res2Text]]="","",TRIM(MID(SUBSTITUTE(Tasks[[#This Row],[_Resources]],",",REPT(" ",99)),199,99)))</f>
        <v/>
      </c>
      <c r="DG51" s="42" t="str">
        <f aca="false">IF(Tasks[[#This Row],[_Res3Text]]="","",TRIM(MID(SUBSTITUTE(Tasks[[#This Row],[_Resources]],",",REPT(" ",99)),298,99)))</f>
        <v/>
      </c>
      <c r="DH51" s="42" t="n">
        <f aca="false">IF(Tasks[[#This Row],[_Res1Text]]="",0,IFERROR(MATCH(TRIM(LEFT(Tasks[[#This Row],[_Res1Text]],FIND("[",Tasks[[#This Row],[_Res1Text]]&amp;"[")-1)),res_Name,0),IFERROR(MATCH(TRIM(LEFT(Tasks[[#This Row],[_Res1Text]],FIND("[",Tasks[[#This Row],[_Res1Text]]&amp;"[")-1)),res_Initials,0),0)))</f>
        <v>0</v>
      </c>
      <c r="DI51" s="42" t="n">
        <f aca="false">IF(Tasks[[#This Row],[_Res2Text]]="",0,IFERROR(MATCH(TRIM(LEFT(Tasks[[#This Row],[_Res2Text]],FIND("[",Tasks[[#This Row],[_Res2Text]]&amp;"[")-1)),res_Name,0),IFERROR(MATCH(TRIM(LEFT(Tasks[[#This Row],[_Res2Text]],FIND("[",Tasks[[#This Row],[_Res2Text]]&amp;"[")-1)),res_Initials,0),0)))</f>
        <v>0</v>
      </c>
      <c r="DJ51" s="42" t="n">
        <f aca="false">IF(Tasks[[#This Row],[_Res3Text]]="",0,IFERROR(MATCH(TRIM(LEFT(Tasks[[#This Row],[_Res3Text]],FIND("[",Tasks[[#This Row],[_Res3Text]]&amp;"[")-1)),res_Name,0),IFERROR(MATCH(TRIM(LEFT(Tasks[[#This Row],[_Res3Text]],FIND("[",Tasks[[#This Row],[_Res3Text]]&amp;"[")-1)),res_Initials,0),0)))</f>
        <v>0</v>
      </c>
      <c r="DK51" s="42" t="n">
        <f aca="false">IF(Tasks[[#This Row],[_Res4Text]]="",0,IFERROR(MATCH(TRIM(LEFT(Tasks[[#This Row],[_Res4Text]],FIND("[",Tasks[[#This Row],[_Res4Text]]&amp;"[")-1)),res_Name,0),IFERROR(MATCH(TRIM(LEFT(Tasks[[#This Row],[_Res4Text]],FIND("[",Tasks[[#This Row],[_Res4Text]]&amp;"[")-1)),res_Initials,0),0)))</f>
        <v>0</v>
      </c>
      <c r="DL51" s="42" t="str">
        <f aca="false">IF(Tasks[[#This Row],[_Res1Text]]="","",IF(Tasks[[#This Row],[_Res1Row]]&gt;0,INDEX(res_Name,Tasks[[#This Row],[_Res1Row]]),TRIM(LEFT(Tasks[[#This Row],[_Res1Text]],FIND("[",Tasks[[#This Row],[_Res1Text]]&amp;"[")-1))))</f>
        <v/>
      </c>
      <c r="DM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1" s="42" t="n">
        <f aca="false">IF(NOT(Tasks[[#This Row],[_IsLeaf]]=1),0,(Tasks[[#This Row],[_Resource1]]&lt;&gt;"")+(Tasks[[#This Row],[_Res2]]&lt;&gt;"")+(Tasks[[#This Row],[_Res3]]&lt;&gt;"")+(Tasks[[#This Row],[_Res4]]&lt;&gt;""))</f>
        <v>0</v>
      </c>
      <c r="DO51" s="42" t="str">
        <f aca="false">IF(Tasks[[#This Row],[_Res2Text]]="","",IF(Tasks[[#This Row],[_Res2Row]]&gt;0,INDEX(res_Name,Tasks[[#This Row],[_Res2Row]]),TRIM(LEFT(Tasks[[#This Row],[_Res2Text]],FIND("[",Tasks[[#This Row],[_Res2Text]]&amp;"[")-1))))</f>
        <v/>
      </c>
      <c r="DP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1" s="42" t="n">
        <f aca="false">IF(OR(NOT(Tasks[[#This Row],[_IsLeaf]]=1),Tasks[[#This Row],[_Res2Row]]=0),0,N(Tasks[[#This Row],[_Days]])*HoursPerDay*IF(Tasks[[#This Row],[_Res2Units]]="",DefaultUnits,Tasks[[#This Row],[_Res2Units]]))</f>
        <v>0</v>
      </c>
      <c r="DR51" s="42" t="n">
        <f aca="false">IF(AND(AND(Tasks[[#This Row],[_IsLeaf]]=1,Tasks[[#This Row],[_LeafTotalWork]]&gt;0),Tasks[[#This Row],[_Res2Work]]&gt;0),Tasks[[#This Row],[_Res2Work]]/(Tasks[[#This Row],[_FinishWorkday]]-Tasks[[#This Row],[_StartWorkday]]+1),0)</f>
        <v>0</v>
      </c>
      <c r="DS51" s="42" t="n">
        <f aca="false">Tasks[[#This Row],[_Res2WorkPerWD]]*MAX(0,Tasks[[#This Row],[_StartWorkday]]-1)</f>
        <v>0</v>
      </c>
      <c r="DT51" s="42" t="n">
        <f aca="false">Tasks[[#This Row],[_Res2Work]]*Tasks[[#This Row],[_LeafProgress]]</f>
        <v>0</v>
      </c>
      <c r="DU51" s="42" t="str">
        <f aca="false">IF(Tasks[[#This Row],[_Res3Text]]="","",IF(Tasks[[#This Row],[_Res3Row]]&gt;0,INDEX(res_Name,Tasks[[#This Row],[_Res3Row]]),TRIM(LEFT(Tasks[[#This Row],[_Res3Text]],FIND("[",Tasks[[#This Row],[_Res3Text]]&amp;"[")-1))))</f>
        <v/>
      </c>
      <c r="DV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1" s="42" t="n">
        <f aca="false">IF(OR(NOT(Tasks[[#This Row],[_IsLeaf]]=1),Tasks[[#This Row],[_Res3Row]]=0),0,N(Tasks[[#This Row],[_Days]])*HoursPerDay*IF(Tasks[[#This Row],[_Res3Units]]="",DefaultUnits,Tasks[[#This Row],[_Res3Units]]))</f>
        <v>0</v>
      </c>
      <c r="DX51" s="42" t="n">
        <f aca="false">IF(AND(AND(Tasks[[#This Row],[_IsLeaf]]=1,Tasks[[#This Row],[_LeafTotalWork]]&gt;0),Tasks[[#This Row],[_Res3Work]]&gt;0),Tasks[[#This Row],[_Res3Work]]/(Tasks[[#This Row],[_FinishWorkday]]-Tasks[[#This Row],[_StartWorkday]]+1),0)</f>
        <v>0</v>
      </c>
      <c r="DY51" s="42" t="n">
        <f aca="false">Tasks[[#This Row],[_Res3WorkPerWD]]*MAX(0,Tasks[[#This Row],[_StartWorkday]]-1)</f>
        <v>0</v>
      </c>
      <c r="DZ51" s="42" t="n">
        <f aca="false">Tasks[[#This Row],[_Res3Work]]*Tasks[[#This Row],[_LeafProgress]]</f>
        <v>0</v>
      </c>
      <c r="EA51" s="42" t="str">
        <f aca="false">IF(Tasks[[#This Row],[_Res4Text]]="","",IF(Tasks[[#This Row],[_Res4Row]]&gt;0,INDEX(res_Name,Tasks[[#This Row],[_Res4Row]]),TRIM(LEFT(Tasks[[#This Row],[_Res4Text]],FIND("[",Tasks[[#This Row],[_Res4Text]]&amp;"[")-1))))</f>
        <v/>
      </c>
      <c r="EB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1" s="42" t="n">
        <f aca="false">IF(OR(NOT(Tasks[[#This Row],[_IsLeaf]]=1),Tasks[[#This Row],[_Res4Row]]=0),0,N(Tasks[[#This Row],[_Days]])*HoursPerDay*IF(Tasks[[#This Row],[_Res4Units]]="",DefaultUnits,Tasks[[#This Row],[_Res4Units]]))</f>
        <v>0</v>
      </c>
      <c r="ED51" s="42" t="n">
        <f aca="false">IF(AND(AND(Tasks[[#This Row],[_IsLeaf]]=1,Tasks[[#This Row],[_LeafTotalWork]]&gt;0),Tasks[[#This Row],[_Res4Work]]&gt;0),Tasks[[#This Row],[_Res4Work]]/(Tasks[[#This Row],[_FinishWorkday]]-Tasks[[#This Row],[_StartWorkday]]+1),0)</f>
        <v>0</v>
      </c>
      <c r="EE51" s="42" t="n">
        <f aca="false">Tasks[[#This Row],[_Res4WorkPerWD]]*MAX(0,Tasks[[#This Row],[_StartWorkday]]-1)</f>
        <v>0</v>
      </c>
      <c r="EF51" s="42" t="n">
        <f aca="false">Tasks[[#This Row],[_Res4Work]]*Tasks[[#This Row],[_LeafProgress]]</f>
        <v>0</v>
      </c>
      <c r="EG51" s="42" t="n">
        <f aca="false">IF(ISNUMBER(Tasks[[#This Row],[% Complete]]),Tasks[[#This Row],[% Complete]],IF(Tasks[[#This Row],[Stage]]="",0,IFERROR(INDEX(stg_Pct,MATCH(Tasks[[#This Row],[Stage]],stg_Name,0)),0)))</f>
        <v>0</v>
      </c>
      <c r="EH51" s="42" t="n">
        <f aca="false">IF(NOT(Tasks[[#This Row],[_IsLeaf]]=1),0,IF(N(Tasks[[#This Row],[Actual Finish]])&gt;0,1,MIN(1,Tasks[[#This Row],[_Pct]])))</f>
        <v>0</v>
      </c>
      <c r="EI51" s="42" t="n">
        <f aca="false">IF(OR(NOT(Tasks[[#This Row],[_IsLeaf]]=1),Tasks[[#This Row],[_Res1Row]]=0),0,N(Tasks[[#This Row],[_Days]])*HoursPerDay*IF(Tasks[[#This Row],[_Units1]]="",DefaultUnits,Tasks[[#This Row],[_Units1]]))</f>
        <v>0</v>
      </c>
      <c r="EJ51" s="42" t="n">
        <f aca="false">Tasks[[#This Row],[_LeafWork]]+Tasks[[#This Row],[_Res2Work]]+Tasks[[#This Row],[_Res3Work]]+Tasks[[#This Row],[_Res4Work]]</f>
        <v>0</v>
      </c>
      <c r="EK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1" s="42" t="n">
        <f aca="false">IF(NOT(Tasks[[#This Row],[_IsLeaf]]=1),0,MAX(_xlfn.MAXIFS(Tasks[_Row],Tasks[_Pred1UID],Tasks[[#This Row],[UID]]),_xlfn.MAXIFS(Tasks[_Row],Tasks[_Pred2UID],Tasks[[#This Row],[UID]]),_xlfn.MAXIFS(Tasks[_Row],Tasks[_Pred3UID],Tasks[[#This Row],[UID]]),_xlfn.MAXIFS(Tasks[_Row],Tasks[_Pred4UID],Tasks[[#This Row],[UID]])))</f>
        <v>0</v>
      </c>
      <c r="ET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1" s="89" t="str">
        <f aca="false">IF(NOT(Tasks[[#This Row],[_IsLeaf]]=1),"",IF(N(Tasks[[#This Row],[_Days]])&lt;=0,Tasks[[#This Row],[_LeafLateFinish]],WORKDAY.INTL(Tasks[[#This Row],[_LeafLateFinish]],-(Tasks[[#This Row],[_Days]]-1),WorkWeek,Holidays)))</f>
        <v/>
      </c>
      <c r="EW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1" s="88" t="b">
        <f aca="false">AND(Tasks[[#This Row],[_IsLeaf]]=1,Tasks[[#This Row],[_LeafProgress]]&lt;1,N(Tasks[[#This Row],[_LeafTotalSlack]])&lt;=CriticalSlackDays)</f>
        <v>0</v>
      </c>
      <c r="EY51" s="42" t="n">
        <f aca="false">IF(AND(Tasks[[#This Row],[_IsLeaf]]=1,Tasks[[#This Row],[_ConstraintCode]]=1,Tasks[[#This Row],[Mode]]&lt;&gt;"Manual",N(Tasks[[#This Row],[Actual Start]])=0),MAX(0,N(Tasks[[#This Row],[Free Slack]])),0)</f>
        <v>0</v>
      </c>
      <c r="EZ51" s="89" t="str">
        <f aca="false">IF(NOT(Tasks[[#This Row],[_IsLeaf]]=1),"",IF(Tasks[[#This Row],[_AlapShift]]=0,Tasks[[#This Row],[_LeafCalcStart]],WORKDAY.INTL(Tasks[[#This Row],[_LeafCalcStart]],Tasks[[#This Row],[_AlapShift]],WorkWeek,Holidays)))</f>
        <v/>
      </c>
      <c r="FA51" s="89" t="str">
        <f aca="false">IF(NOT(Tasks[[#This Row],[_IsLeaf]]=1),"",IF(Tasks[[#This Row],[_AlapShift]]=0,Tasks[[#This Row],[_LeafCalcFinish]],WORKDAY.INTL(Tasks[[#This Row],[_LeafCalcFinish]],Tasks[[#This Row],[_AlapShift]],WorkWeek,Holidays)))</f>
        <v/>
      </c>
      <c r="FB51" s="89" t="str">
        <f aca="false">IF(NOT(Tasks[[#This Row],[_IsLeaf]]=1),"",IF(Tasks[[#This Row],[_AlapShift]]=0,Tasks[[#This Row],[_LeafFcstStart]],WORKDAY.INTL(Tasks[[#This Row],[_LeafFcstStart]],Tasks[[#This Row],[_AlapShift]],WorkWeek,Holidays)))</f>
        <v/>
      </c>
      <c r="FC51" s="89" t="str">
        <f aca="false">IF(NOT(Tasks[[#This Row],[_IsLeaf]]=1),"",IF(Tasks[[#This Row],[_AlapShift]]=0,Tasks[[#This Row],[_LeafFcstFinish]],WORKDAY.INTL(Tasks[[#This Row],[_LeafFcstFinish]],Tasks[[#This Row],[_AlapShift]],WorkWeek,Holidays)))</f>
        <v/>
      </c>
      <c r="FD51" s="89" t="str">
        <f aca="false">IF(Tasks[[#This Row],[Task Name]]="","",IF(Tasks[[#This Row],[_IsSummary]],MIN(INDEX(Tasks[_ShownCalcStart],Tasks[[#This Row],[_Row]]+1):INDEX(Tasks[_ShownCalcStart],Tasks[[#This Row],[_Row]]+Tasks[[#This Row],[_Descendants]])),Tasks[[#This Row],[_ShownCalcStart]]))</f>
        <v/>
      </c>
      <c r="FE51" s="89" t="str">
        <f aca="false">IF(Tasks[[#This Row],[Task Name]]="","",IF(Tasks[[#This Row],[_IsSummary]],MAX(INDEX(Tasks[_ShownCalcFinish],Tasks[[#This Row],[_Row]]+1):INDEX(Tasks[_ShownCalcFinish],Tasks[[#This Row],[_Row]]+Tasks[[#This Row],[_Descendants]])),Tasks[[#This Row],[_ShownCalcFinish]]))</f>
        <v/>
      </c>
      <c r="FF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1" s="42" t="n">
        <f aca="false">IF(AND(Tasks[[#This Row],[_IsLeaf]]=1,Tasks[[#This Row],[_LeafTotalWork]]&gt;0),NETWORKDAYS.INTL(ProjectStart,Tasks[[#This Row],[_ShownFcstStart]],WorkWeek,Holidays),0)</f>
        <v>0</v>
      </c>
      <c r="FS51" s="42" t="n">
        <f aca="false">IF(AND(Tasks[[#This Row],[_IsLeaf]]=1,Tasks[[#This Row],[_LeafTotalWork]]&gt;0),MAX(Tasks[[#This Row],[_StartWorkday]],NETWORKDAYS.INTL(ProjectStart,Tasks[[#This Row],[_ShownFcstFinish]],WorkWeek,Holidays)),0)</f>
        <v>0</v>
      </c>
      <c r="FT51" s="42" t="n">
        <f aca="false">IF(AND(Tasks[[#This Row],[_IsLeaf]]=1,Tasks[[#This Row],[_LeafTotalWork]]&gt;0),Tasks[[#This Row],[_LeafWork]]/(Tasks[[#This Row],[_FinishWorkday]]-Tasks[[#This Row],[_StartWorkday]]+1),0)</f>
        <v>0</v>
      </c>
      <c r="FU51" s="42" t="n">
        <f aca="false">Tasks[[#This Row],[_WorkPerWorkday]]*(Tasks[[#This Row],[_StartWorkday]]-1)</f>
        <v>-0</v>
      </c>
      <c r="FV51" s="42" t="n">
        <f aca="false">IF(Tasks[[#This Row],[_IsLeaf]]=1,MAX(N(Tasks[[#This Row],[_Days]]),0.1),0)</f>
        <v>0</v>
      </c>
      <c r="FW51" s="42" t="n">
        <f aca="false">Tasks[[#This Row],[_WeightDur]]*Tasks[[#This Row],[_LeafProgress]]</f>
        <v>0</v>
      </c>
      <c r="FX51" s="42" t="n">
        <f aca="false">Tasks[[#This Row],[_WeightDur]]*Tasks[[#This Row],[_PlannedPct]]</f>
        <v>0</v>
      </c>
      <c r="FY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1" s="42" t="str">
        <f aca="false">IF(AND(Tasks[[#This Row],[_IsLeaf]]=1,N(Tasks[[#This Row],[_Days]])=0,Tasks[[#This Row],[_LeafProgress]]&lt;1),Tasks[[#This Row],[_ShownFcstFinish]]+Tasks[[#This Row],[_Row]]/100000,"")</f>
        <v/>
      </c>
      <c r="GA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1" s="42" t="str">
        <f aca="false">IF(Tasks[[#This Row],[Task Name]]="","",LEFT(Tasks[[#This Row],[WBS]],FIND(".",Tasks[[#This Row],[WBS]]&amp;".")-1))</f>
        <v/>
      </c>
      <c r="GC51" s="42" t="str">
        <f aca="false">IF(AND(Tasks[[#This Row],[Task Name]]&lt;&gt;"",Tasks[[#This Row],[_Level]]=1),Tasks[[#This Row],[_Row]],"")</f>
        <v/>
      </c>
      <c r="GD51" s="42" t="str">
        <f aca="false">IF(AND(Tasks[[#This Row],[_IsLeaf]]=1,N(Tasks[[#This Row],[_Days]])=0),Tasks[[#This Row],[Planned Finish]]+Tasks[[#This Row],[_Row]]/100000,"")</f>
        <v/>
      </c>
      <c r="GE51" s="42" t="str">
        <f aca="false">IF(AND(Tasks[[#This Row],[_IsLeaf]]=1,Tasks[[#This Row],[_LeafProgress]]&lt;1,OR(N(Tasks[[#This Row],[Finish Var]])&gt;0,Tasks[[#This Row],[Status]]="Late Start")),MAX(0,Tasks[[#This Row],[Finish Var]])+1-Tasks[[#This Row],[_Row]]/1000000,"")</f>
        <v/>
      </c>
      <c r="GF51" s="42" t="str">
        <f aca="false">IF(AND(Tasks[[#This Row],[_IsLeaf]]=1,N(Tasks[[#This Row],[Actual Start]])=0,Tasks[[#This Row],[_ShownFcstStart]]&gt;=StatusDate,Tasks[[#This Row],[_ShownFcstStart]]&lt;=LookaheadEnd),Tasks[[#This Row],[_ShownFcstStart]]+Tasks[[#This Row],[_Row]]/100000,"")</f>
        <v/>
      </c>
      <c r="GG51" s="42" t="str">
        <f aca="false">IF(AND(Tasks[[#This Row],[_IsLeaf]]=1,Tasks[[#This Row],[_LeafProgress]]&lt;1,Tasks[[#This Row],[_ShownFcstFinish]]&gt;=StatusDate,Tasks[[#This Row],[_ShownFcstFinish]]&lt;=LookaheadEnd),Tasks[[#This Row],[_ShownFcstFinish]]+Tasks[[#This Row],[_Row]]/100000,"")</f>
        <v/>
      </c>
      <c r="GH51" s="42" t="str">
        <f aca="false">IF(Tasks[[#This Row],[_LeafCritical]],Tasks[[#This Row],[_ShownFcstStart]]+Tasks[[#This Row],[_Row]]/100000,"")</f>
        <v/>
      </c>
      <c r="GI51" s="42" t="n">
        <f aca="false">Tasks[[#This Row],[_LeafWork]]*Tasks[[#This Row],[_LeafProgress]]</f>
        <v>0</v>
      </c>
      <c r="GJ51" s="89" t="str">
        <f aca="false">IF(AND(Tasks[[#This Row],[_IsLeaf]]=1,Tasks[[#This Row],[_LeafProgress]]&gt;=1),IF(N(Tasks[[#This Row],[Actual Finish]])&gt;0,Tasks[[#This Row],[Actual Finish]],Tasks[[#This Row],[_ShownFcstFinish]]),"")</f>
        <v/>
      </c>
      <c r="GK51" s="42" t="n">
        <f aca="false">IF(Tasks[[#This Row],[_IsLeaf]]=1,N(Tasks[[#This Row],[Story Points]]),0)</f>
        <v>0</v>
      </c>
      <c r="GL51" s="42" t="str">
        <f aca="false">""</f>
        <v/>
      </c>
      <c r="GM51" s="88" t="b">
        <f aca="false">IF(Tasks[[#This Row],[Task Name]]="",FALSE(),AND(Tasks[[#This Row],[_IsLeaf]]=1,N(Tasks[[#This Row],[_Days]])=0))</f>
        <v>0</v>
      </c>
      <c r="GN51" s="89" t="n">
        <f aca="false">IF(Tasks[[#This Row],[Task Name]]="",0,IF(AND(Tasks[[#This Row],[_IsLeaf]]=1,NOT(Tasks[[#This Row],[_IsMilestone]]),N(Tasks[[#This Row],[Progress]])&gt;0),Tasks[[#This Row],[Start]],0))</f>
        <v>0</v>
      </c>
      <c r="GO51" s="89" t="n">
        <f aca="false">IF(Tasks[[#This Row],[_DoneFrom]]=0,0,IF(Tasks[[#This Row],[Progress]]&gt;=1,Tasks[[#This Row],[Finish]],MAX(Tasks[[#This Row],[_DoneFrom]],Tasks[[#This Row],[Start]]+ROUND((Tasks[[#This Row],[Finish]]-Tasks[[#This Row],[Start]]+1)*Tasks[[#This Row],[Progress]],0)-1)))</f>
        <v>0</v>
      </c>
      <c r="GP51" s="89" t="n">
        <f aca="false">IF(Tasks[[#This Row],[Task Name]]="",0,IF(OR(NOT(Tasks[[#This Row],[_IsLeaf]]=1),Tasks[[#This Row],[_IsMilestone]],N(Tasks[[#This Row],[Progress]])&gt;=1),0,IF(Tasks[[#This Row],[_DoneTo]]&gt;0,Tasks[[#This Row],[_DoneTo]]+1,Tasks[[#This Row],[Start]])))</f>
        <v>0</v>
      </c>
      <c r="GQ51" s="89" t="n">
        <f aca="false">IF(Tasks[[#This Row],[_RemFrom]]=0,0,Tasks[[#This Row],[Finish]])</f>
        <v>0</v>
      </c>
      <c r="GR51" s="88" t="b">
        <f aca="false">IF(Tasks[[#This Row],[Task Name]]="",FALSE(),OR(NOT(BaselineSet),N(Tasks[[#This Row],[Baseline Start]])&gt;0))</f>
        <v>0</v>
      </c>
      <c r="GS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1" s="90" t="str">
        <f aca="false">IF(Tasks[[#This Row],[_IsLeaf]]=1,Tasks[[#This Row],[_Row]],"")</f>
        <v/>
      </c>
      <c r="GW51" s="90" t="str">
        <f aca="false">IFERROR(INDEX(Tasks[UID],SMALL(Tasks[_PickKey],Tasks[[#This Row],[_Row]]))&amp;" "&amp;INDEX(Tasks[Task Name],SMALL(Tasks[_PickKey],Tasks[[#This Row],[_Row]])),"")</f>
        <v/>
      </c>
      <c r="GX51" s="42" t="str">
        <f aca="false">IF(Tasks[[#This Row],[Task Name]]="","",IF(Tasks[[#This Row],[_IsSummary]],NETWORKDAYS.INTL(Tasks[[#This Row],[Start]],Tasks[[#This Row],[Finish]],WorkWeek,Holidays),N(Tasks[[#This Row],[_Days]])))</f>
        <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3"/>
      <c r="U52" s="23"/>
      <c r="V52" s="83"/>
      <c r="W52" s="23"/>
      <c r="X52" s="83"/>
      <c r="Y52" s="23"/>
      <c r="Z52" s="83"/>
      <c r="AA52" s="23"/>
      <c r="AB52" s="23"/>
      <c r="AC52" s="7"/>
      <c r="AD52" s="7"/>
      <c r="AE52" s="62" t="str">
        <f aca="false">IF(Tasks[[#This Row],[Task Name]]="","",IF(Tasks[[#This Row],[_IsSummary]],MIN(INDEX(Tasks[_ShownFcstStart],Tasks[[#This Row],[_Row]]+1):INDEX(Tasks[_ShownFcstStart],Tasks[[#This Row],[_Row]]+Tasks[[#This Row],[_Descendants]])),Tasks[[#This Row],[_ShownFcstStart]]))</f>
        <v/>
      </c>
      <c r="AF52" s="62"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2" s="7"/>
      <c r="AK52" s="22"/>
      <c r="AL52" s="23"/>
      <c r="AM52" s="7"/>
      <c r="AN52" s="46"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2" t="str">
        <f aca="false">IF(Tasks[[#This Row],[Task Name]]="","",IF(N(Tasks[[#This Row],[Baseline Start]])&gt;0,Tasks[[#This Row],[Baseline Start]],Tasks[[#This Row],[_CalcStart]]))</f>
        <v/>
      </c>
      <c r="AR52" s="62" t="str">
        <f aca="false">IF(Tasks[[#This Row],[Task Name]]="","",IF(N(Tasks[[#This Row],[Baseline Finish]])&gt;0,Tasks[[#This Row],[Baseline Finish]],Tasks[[#This Row],[_CalcFinish]]))</f>
        <v/>
      </c>
      <c r="AS52" s="46" t="str">
        <f aca="false">IF(Tasks[[#This Row],[Task Name]]="","",IF(Tasks[[#This Row],[Start]]&gt;=Tasks[[#This Row],[Planned Start]],NETWORKDAYS.INTL(Tasks[[#This Row],[Planned Start]],Tasks[[#This Row],[Start]],WorkWeek,Holidays)-1,1-NETWORKDAYS.INTL(Tasks[[#This Row],[Start]],Tasks[[#This Row],[Planned Start]],WorkWeek,Holidays)))</f>
        <v/>
      </c>
      <c r="AT52" s="62" t="str">
        <f aca="false">IF(Tasks[[#This Row],[Task Name]]="","",IF(Tasks[[#This Row],[_IsSummary]],MIN(INDEX(Tasks[_LeafLateStart],Tasks[[#This Row],[_Row]]+1):INDEX(Tasks[_LeafLateStart],Tasks[[#This Row],[_Row]]+Tasks[[#This Row],[_Descendants]])),Tasks[[#This Row],[_LeafLateStart]]))</f>
        <v/>
      </c>
      <c r="AU52" s="62" t="str">
        <f aca="false">IF(Tasks[[#This Row],[Task Name]]="","",IF(Tasks[[#This Row],[_IsSummary]],MAX(INDEX(Tasks[_LeafLateFinish],Tasks[[#This Row],[_Row]]+1):INDEX(Tasks[_LeafLateFinish],Tasks[[#This Row],[_Row]]+Tasks[[#This Row],[_Descendants]])),Tasks[[#This Row],[_LeafLateFinish]]))</f>
        <v/>
      </c>
      <c r="AV52" s="46"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4"/>
      <c r="BA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5"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6"/>
      <c r="BJ52" s="22"/>
      <c r="BK52" s="46" t="str">
        <f aca="false">IF(OR(Tasks[[#This Row],[Task Name]]="",Tasks[[#This Row],[Baseline Duration]]=""),"",Tasks[[#This Row],[_SpanDays]]-N(Tasks[[#This Row],[Baseline Duration]]))</f>
        <v/>
      </c>
      <c r="BL52" s="85" t="str">
        <f aca="false">IF(OR(Tasks[[#This Row],[Task Name]]="",Tasks[[#This Row],[Baseline Work]]=""),"",Tasks[[#This Row],[Work]]-N(Tasks[[#This Row],[Baseline Work]]))</f>
        <v/>
      </c>
      <c r="BM52" s="62" t="str">
        <f aca="false">IF(Tasks[[#This Row],[Task Name]]="","",IF(OR(TakeBaseline="Yes",N(Tasks[[#This Row],[Baseline Start]])=0),Tasks[[#This Row],[Start]],Tasks[[#This Row],[Baseline Start]]))</f>
        <v/>
      </c>
      <c r="BN52" s="62"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5" t="str">
        <f aca="false">IF(Tasks[[#This Row],[Task Name]]="","",IF(OR(TakeBaseline="Yes",N(Tasks[[#This Row],[Baseline Work]])=0),Tasks[[#This Row],[Work]],Tasks[[#This Row],[Baseline Work]]))</f>
        <v/>
      </c>
      <c r="BQ52" s="7"/>
      <c r="BR52" s="7"/>
      <c r="BS52" s="22"/>
      <c r="BT52" s="87"/>
      <c r="BU52" s="42" t="str">
        <f aca="false">IF(Tasks[[#This Row],[Task Name]]="","",MAX(1,N(Tasks[[#This Row],[Level]])))</f>
        <v/>
      </c>
      <c r="BV52" s="42" t="n">
        <f aca="false">ROW()-ROW(Tasks[[#Headers],[ID]])</f>
        <v>47</v>
      </c>
      <c r="BW52" s="42" t="n">
        <f aca="false">IF(OR(Tasks[[#This Row],[Task Name]]="",Tasks[[#This Row],[_Level]]&lt;=1),0,IFERROR(LOOKUP(2,1/(Tasks[[#Headers],[_Level]]:Tasks[[#This Row],[_Level]]=Tasks[[#This Row],[_Level]]-1),ROW(Tasks[[#Headers],[_Level]]:Tasks[[#This Row],[_Level]])),0))</f>
        <v>0</v>
      </c>
      <c r="BX52" s="42" t="n">
        <f aca="false">IFERROR(N(INDEX(Tasks[_Level],Tasks[[#This Row],[_Row]]+1)),0)</f>
        <v>0</v>
      </c>
      <c r="BY52" s="88" t="b">
        <f aca="false">AND(Tasks[[#This Row],[Task Name]]&lt;&gt;"",Tasks[[#This Row],[_NextLevel]]&gt;Tasks[[#This Row],[_Level]])</f>
        <v>0</v>
      </c>
      <c r="BZ52" s="42" t="n">
        <f aca="false">IF(Tasks[[#This Row],[_IsSummary]],COUNTIF(Tasks[WBS],Tasks[[#This Row],[WBS]]&amp;".*"),0)</f>
        <v>0</v>
      </c>
      <c r="CA52" s="42" t="n">
        <f aca="false">IF(AND(Tasks[[#This Row],[Task Name]]&lt;&gt;"",NOT(Tasks[[#This Row],[_IsSummary]])),1,0)</f>
        <v>0</v>
      </c>
      <c r="CB52" s="42" t="n">
        <f aca="false">IF(N(Tasks[[#This Row],[_Pred1UID]])=0,0,IFERROR(MATCH(Tasks[[#This Row],[_Pred1UID]],Tasks[UID],0),-1))</f>
        <v>0</v>
      </c>
      <c r="CC52" s="42" t="n">
        <f aca="false">IF(N(Tasks[[#This Row],[_Pred2UID]])=0,0,IFERROR(MATCH(Tasks[[#This Row],[_Pred2UID]],Tasks[UID],0),-1))</f>
        <v>0</v>
      </c>
      <c r="CD52" s="42" t="n">
        <f aca="false">IF(N(Tasks[[#This Row],[_Pred3UID]])=0,0,IFERROR(MATCH(Tasks[[#This Row],[_Pred3UID]],Tasks[UID],0),-1))</f>
        <v>0</v>
      </c>
      <c r="CE52" s="42" t="n">
        <f aca="false">IF(N(Tasks[[#This Row],[_Pred4UID]])=0,0,IFERROR(MATCH(Tasks[[#This Row],[_Pred4UID]],Tasks[UID],0),-1))</f>
        <v>0</v>
      </c>
      <c r="CF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2" s="89" t="n">
        <f aca="false">IF(OR(Tasks[[#This Row],[_ConstraintCode]]=2,Tasks[[#This Row],[_ConstraintCode]]=3,Tasks[[#This Row],[_ConstraintCode]]=4,Tasks[[#This Row],[_ConstraintCode]]=6),Tasks[[#This Row],[_ConstraintStart]],0)</f>
        <v>0</v>
      </c>
      <c r="CI52" s="89" t="n">
        <f aca="false">IF(OR(Tasks[[#This Row],[_ConstraintCode]]=2,Tasks[[#This Row],[_ConstraintCode]]=3,Tasks[[#This Row],[_ConstraintCode]]=5,Tasks[[#This Row],[_ConstraintCode]]=7),Tasks[[#This Row],[_ConstraintStart]],2958465)</f>
        <v>2958465</v>
      </c>
      <c r="CJ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2" s="89" t="str">
        <f aca="false">IF(NOT(Tasks[[#This Row],[_IsLeaf]]=1),"",IF(N(Tasks[[#This Row],[_Days]])&lt;=0,Tasks[[#This Row],[_LeafCalcStart]],WORKDAY.INTL(Tasks[[#This Row],[_LeafCalcStart]],Tasks[[#This Row],[_Days]]-1,WorkWeek,Holidays)))</f>
        <v/>
      </c>
      <c r="CL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2" s="42" t="str">
        <f aca="false">IF(Tasks[[#This Row],[_Predecessors]]="","",TRIM(MID(SUBSTITUTE(SUBSTITUTE(SUBSTITUTE(UPPER(Tasks[[#This Row],[_Predecessors]]),";",",")," ",""),",",REPT(" ",99)),1,99)))</f>
        <v/>
      </c>
      <c r="CO52" s="42" t="str">
        <f aca="false">IF(Tasks[[#This Row],[_Pred1Text]]="","",IFERROR(VALUE(LEFT(Tasks[[#This Row],[_Pred1Text]],MIN(FIND("F",Tasks[[#This Row],[_Pred1Text]]&amp;"F"),FIND("S",Tasks[[#This Row],[_Pred1Text]]&amp;"S"),FIND("+",Tasks[[#This Row],[_Pred1Text]]&amp;"+"),FIND("-",Tasks[[#This Row],[_Pred1Text]]&amp;"-"))-1)),""))</f>
        <v/>
      </c>
      <c r="CP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2" s="42" t="str">
        <f aca="false">IF(Tasks[[#This Row],[_Pred1Text]]="","",TRIM(MID(SUBSTITUTE(SUBSTITUTE(SUBSTITUTE(UPPER(Tasks[[#This Row],[_Predecessors]]),";",",")," ",""),",",REPT(" ",99)),100,99)))</f>
        <v/>
      </c>
      <c r="CS52" s="42" t="str">
        <f aca="false">IF(Tasks[[#This Row],[_Pred2Text]]="","",IFERROR(VALUE(LEFT(Tasks[[#This Row],[_Pred2Text]],MIN(FIND("F",Tasks[[#This Row],[_Pred2Text]]&amp;"F"),FIND("S",Tasks[[#This Row],[_Pred2Text]]&amp;"S"),FIND("+",Tasks[[#This Row],[_Pred2Text]]&amp;"+"),FIND("-",Tasks[[#This Row],[_Pred2Text]]&amp;"-"))-1)),""))</f>
        <v/>
      </c>
      <c r="CT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2" s="42" t="str">
        <f aca="false">IF(Tasks[[#This Row],[_Pred2Text]]="","",TRIM(MID(SUBSTITUTE(SUBSTITUTE(SUBSTITUTE(UPPER(Tasks[[#This Row],[_Predecessors]]),";",",")," ",""),",",REPT(" ",99)),199,99)))</f>
        <v/>
      </c>
      <c r="CW52" s="42" t="str">
        <f aca="false">IF(Tasks[[#This Row],[_Pred3Text]]="","",IFERROR(VALUE(LEFT(Tasks[[#This Row],[_Pred3Text]],MIN(FIND("F",Tasks[[#This Row],[_Pred3Text]]&amp;"F"),FIND("S",Tasks[[#This Row],[_Pred3Text]]&amp;"S"),FIND("+",Tasks[[#This Row],[_Pred3Text]]&amp;"+"),FIND("-",Tasks[[#This Row],[_Pred3Text]]&amp;"-"))-1)),""))</f>
        <v/>
      </c>
      <c r="CX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2" s="42" t="str">
        <f aca="false">IF(Tasks[[#This Row],[_Pred3Text]]="","",TRIM(MID(SUBSTITUTE(SUBSTITUTE(SUBSTITUTE(UPPER(Tasks[[#This Row],[_Predecessors]]),";",",")," ",""),",",REPT(" ",99)),298,99)))</f>
        <v/>
      </c>
      <c r="DA52" s="42" t="str">
        <f aca="false">IF(Tasks[[#This Row],[_Pred4Text]]="","",IFERROR(VALUE(LEFT(Tasks[[#This Row],[_Pred4Text]],MIN(FIND("F",Tasks[[#This Row],[_Pred4Text]]&amp;"F"),FIND("S",Tasks[[#This Row],[_Pred4Text]]&amp;"S"),FIND("+",Tasks[[#This Row],[_Pred4Text]]&amp;"+"),FIND("-",Tasks[[#This Row],[_Pred4Text]]&amp;"-"))-1)),""))</f>
        <v/>
      </c>
      <c r="DB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2" s="42" t="str">
        <f aca="false">IF(OR(Tasks[[#This Row],[Task Name]]="",Tasks[[#This Row],[_Resources]]=""),"",TRIM(MID(SUBSTITUTE(Tasks[[#This Row],[_Resources]],",",REPT(" ",99)),1,99)))</f>
        <v/>
      </c>
      <c r="DE52" s="42" t="str">
        <f aca="false">IF(Tasks[[#This Row],[_Res1Text]]="","",TRIM(MID(SUBSTITUTE(Tasks[[#This Row],[_Resources]],",",REPT(" ",99)),100,99)))</f>
        <v/>
      </c>
      <c r="DF52" s="42" t="str">
        <f aca="false">IF(Tasks[[#This Row],[_Res2Text]]="","",TRIM(MID(SUBSTITUTE(Tasks[[#This Row],[_Resources]],",",REPT(" ",99)),199,99)))</f>
        <v/>
      </c>
      <c r="DG52" s="42" t="str">
        <f aca="false">IF(Tasks[[#This Row],[_Res3Text]]="","",TRIM(MID(SUBSTITUTE(Tasks[[#This Row],[_Resources]],",",REPT(" ",99)),298,99)))</f>
        <v/>
      </c>
      <c r="DH52" s="42" t="n">
        <f aca="false">IF(Tasks[[#This Row],[_Res1Text]]="",0,IFERROR(MATCH(TRIM(LEFT(Tasks[[#This Row],[_Res1Text]],FIND("[",Tasks[[#This Row],[_Res1Text]]&amp;"[")-1)),res_Name,0),IFERROR(MATCH(TRIM(LEFT(Tasks[[#This Row],[_Res1Text]],FIND("[",Tasks[[#This Row],[_Res1Text]]&amp;"[")-1)),res_Initials,0),0)))</f>
        <v>0</v>
      </c>
      <c r="DI52" s="42" t="n">
        <f aca="false">IF(Tasks[[#This Row],[_Res2Text]]="",0,IFERROR(MATCH(TRIM(LEFT(Tasks[[#This Row],[_Res2Text]],FIND("[",Tasks[[#This Row],[_Res2Text]]&amp;"[")-1)),res_Name,0),IFERROR(MATCH(TRIM(LEFT(Tasks[[#This Row],[_Res2Text]],FIND("[",Tasks[[#This Row],[_Res2Text]]&amp;"[")-1)),res_Initials,0),0)))</f>
        <v>0</v>
      </c>
      <c r="DJ52" s="42" t="n">
        <f aca="false">IF(Tasks[[#This Row],[_Res3Text]]="",0,IFERROR(MATCH(TRIM(LEFT(Tasks[[#This Row],[_Res3Text]],FIND("[",Tasks[[#This Row],[_Res3Text]]&amp;"[")-1)),res_Name,0),IFERROR(MATCH(TRIM(LEFT(Tasks[[#This Row],[_Res3Text]],FIND("[",Tasks[[#This Row],[_Res3Text]]&amp;"[")-1)),res_Initials,0),0)))</f>
        <v>0</v>
      </c>
      <c r="DK52" s="42" t="n">
        <f aca="false">IF(Tasks[[#This Row],[_Res4Text]]="",0,IFERROR(MATCH(TRIM(LEFT(Tasks[[#This Row],[_Res4Text]],FIND("[",Tasks[[#This Row],[_Res4Text]]&amp;"[")-1)),res_Name,0),IFERROR(MATCH(TRIM(LEFT(Tasks[[#This Row],[_Res4Text]],FIND("[",Tasks[[#This Row],[_Res4Text]]&amp;"[")-1)),res_Initials,0),0)))</f>
        <v>0</v>
      </c>
      <c r="DL52" s="42" t="str">
        <f aca="false">IF(Tasks[[#This Row],[_Res1Text]]="","",IF(Tasks[[#This Row],[_Res1Row]]&gt;0,INDEX(res_Name,Tasks[[#This Row],[_Res1Row]]),TRIM(LEFT(Tasks[[#This Row],[_Res1Text]],FIND("[",Tasks[[#This Row],[_Res1Text]]&amp;"[")-1))))</f>
        <v/>
      </c>
      <c r="DM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2" s="42" t="n">
        <f aca="false">IF(NOT(Tasks[[#This Row],[_IsLeaf]]=1),0,(Tasks[[#This Row],[_Resource1]]&lt;&gt;"")+(Tasks[[#This Row],[_Res2]]&lt;&gt;"")+(Tasks[[#This Row],[_Res3]]&lt;&gt;"")+(Tasks[[#This Row],[_Res4]]&lt;&gt;""))</f>
        <v>0</v>
      </c>
      <c r="DO52" s="42" t="str">
        <f aca="false">IF(Tasks[[#This Row],[_Res2Text]]="","",IF(Tasks[[#This Row],[_Res2Row]]&gt;0,INDEX(res_Name,Tasks[[#This Row],[_Res2Row]]),TRIM(LEFT(Tasks[[#This Row],[_Res2Text]],FIND("[",Tasks[[#This Row],[_Res2Text]]&amp;"[")-1))))</f>
        <v/>
      </c>
      <c r="DP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2" s="42" t="n">
        <f aca="false">IF(OR(NOT(Tasks[[#This Row],[_IsLeaf]]=1),Tasks[[#This Row],[_Res2Row]]=0),0,N(Tasks[[#This Row],[_Days]])*HoursPerDay*IF(Tasks[[#This Row],[_Res2Units]]="",DefaultUnits,Tasks[[#This Row],[_Res2Units]]))</f>
        <v>0</v>
      </c>
      <c r="DR52" s="42" t="n">
        <f aca="false">IF(AND(AND(Tasks[[#This Row],[_IsLeaf]]=1,Tasks[[#This Row],[_LeafTotalWork]]&gt;0),Tasks[[#This Row],[_Res2Work]]&gt;0),Tasks[[#This Row],[_Res2Work]]/(Tasks[[#This Row],[_FinishWorkday]]-Tasks[[#This Row],[_StartWorkday]]+1),0)</f>
        <v>0</v>
      </c>
      <c r="DS52" s="42" t="n">
        <f aca="false">Tasks[[#This Row],[_Res2WorkPerWD]]*MAX(0,Tasks[[#This Row],[_StartWorkday]]-1)</f>
        <v>0</v>
      </c>
      <c r="DT52" s="42" t="n">
        <f aca="false">Tasks[[#This Row],[_Res2Work]]*Tasks[[#This Row],[_LeafProgress]]</f>
        <v>0</v>
      </c>
      <c r="DU52" s="42" t="str">
        <f aca="false">IF(Tasks[[#This Row],[_Res3Text]]="","",IF(Tasks[[#This Row],[_Res3Row]]&gt;0,INDEX(res_Name,Tasks[[#This Row],[_Res3Row]]),TRIM(LEFT(Tasks[[#This Row],[_Res3Text]],FIND("[",Tasks[[#This Row],[_Res3Text]]&amp;"[")-1))))</f>
        <v/>
      </c>
      <c r="DV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2" s="42" t="n">
        <f aca="false">IF(OR(NOT(Tasks[[#This Row],[_IsLeaf]]=1),Tasks[[#This Row],[_Res3Row]]=0),0,N(Tasks[[#This Row],[_Days]])*HoursPerDay*IF(Tasks[[#This Row],[_Res3Units]]="",DefaultUnits,Tasks[[#This Row],[_Res3Units]]))</f>
        <v>0</v>
      </c>
      <c r="DX52" s="42" t="n">
        <f aca="false">IF(AND(AND(Tasks[[#This Row],[_IsLeaf]]=1,Tasks[[#This Row],[_LeafTotalWork]]&gt;0),Tasks[[#This Row],[_Res3Work]]&gt;0),Tasks[[#This Row],[_Res3Work]]/(Tasks[[#This Row],[_FinishWorkday]]-Tasks[[#This Row],[_StartWorkday]]+1),0)</f>
        <v>0</v>
      </c>
      <c r="DY52" s="42" t="n">
        <f aca="false">Tasks[[#This Row],[_Res3WorkPerWD]]*MAX(0,Tasks[[#This Row],[_StartWorkday]]-1)</f>
        <v>0</v>
      </c>
      <c r="DZ52" s="42" t="n">
        <f aca="false">Tasks[[#This Row],[_Res3Work]]*Tasks[[#This Row],[_LeafProgress]]</f>
        <v>0</v>
      </c>
      <c r="EA52" s="42" t="str">
        <f aca="false">IF(Tasks[[#This Row],[_Res4Text]]="","",IF(Tasks[[#This Row],[_Res4Row]]&gt;0,INDEX(res_Name,Tasks[[#This Row],[_Res4Row]]),TRIM(LEFT(Tasks[[#This Row],[_Res4Text]],FIND("[",Tasks[[#This Row],[_Res4Text]]&amp;"[")-1))))</f>
        <v/>
      </c>
      <c r="EB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2" s="42" t="n">
        <f aca="false">IF(OR(NOT(Tasks[[#This Row],[_IsLeaf]]=1),Tasks[[#This Row],[_Res4Row]]=0),0,N(Tasks[[#This Row],[_Days]])*HoursPerDay*IF(Tasks[[#This Row],[_Res4Units]]="",DefaultUnits,Tasks[[#This Row],[_Res4Units]]))</f>
        <v>0</v>
      </c>
      <c r="ED52" s="42" t="n">
        <f aca="false">IF(AND(AND(Tasks[[#This Row],[_IsLeaf]]=1,Tasks[[#This Row],[_LeafTotalWork]]&gt;0),Tasks[[#This Row],[_Res4Work]]&gt;0),Tasks[[#This Row],[_Res4Work]]/(Tasks[[#This Row],[_FinishWorkday]]-Tasks[[#This Row],[_StartWorkday]]+1),0)</f>
        <v>0</v>
      </c>
      <c r="EE52" s="42" t="n">
        <f aca="false">Tasks[[#This Row],[_Res4WorkPerWD]]*MAX(0,Tasks[[#This Row],[_StartWorkday]]-1)</f>
        <v>0</v>
      </c>
      <c r="EF52" s="42" t="n">
        <f aca="false">Tasks[[#This Row],[_Res4Work]]*Tasks[[#This Row],[_LeafProgress]]</f>
        <v>0</v>
      </c>
      <c r="EG52" s="42" t="n">
        <f aca="false">IF(ISNUMBER(Tasks[[#This Row],[% Complete]]),Tasks[[#This Row],[% Complete]],IF(Tasks[[#This Row],[Stage]]="",0,IFERROR(INDEX(stg_Pct,MATCH(Tasks[[#This Row],[Stage]],stg_Name,0)),0)))</f>
        <v>0</v>
      </c>
      <c r="EH52" s="42" t="n">
        <f aca="false">IF(NOT(Tasks[[#This Row],[_IsLeaf]]=1),0,IF(N(Tasks[[#This Row],[Actual Finish]])&gt;0,1,MIN(1,Tasks[[#This Row],[_Pct]])))</f>
        <v>0</v>
      </c>
      <c r="EI52" s="42" t="n">
        <f aca="false">IF(OR(NOT(Tasks[[#This Row],[_IsLeaf]]=1),Tasks[[#This Row],[_Res1Row]]=0),0,N(Tasks[[#This Row],[_Days]])*HoursPerDay*IF(Tasks[[#This Row],[_Units1]]="",DefaultUnits,Tasks[[#This Row],[_Units1]]))</f>
        <v>0</v>
      </c>
      <c r="EJ52" s="42" t="n">
        <f aca="false">Tasks[[#This Row],[_LeafWork]]+Tasks[[#This Row],[_Res2Work]]+Tasks[[#This Row],[_Res3Work]]+Tasks[[#This Row],[_Res4Work]]</f>
        <v>0</v>
      </c>
      <c r="EK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2" s="42" t="n">
        <f aca="false">IF(NOT(Tasks[[#This Row],[_IsLeaf]]=1),0,MAX(_xlfn.MAXIFS(Tasks[_Row],Tasks[_Pred1UID],Tasks[[#This Row],[UID]]),_xlfn.MAXIFS(Tasks[_Row],Tasks[_Pred2UID],Tasks[[#This Row],[UID]]),_xlfn.MAXIFS(Tasks[_Row],Tasks[_Pred3UID],Tasks[[#This Row],[UID]]),_xlfn.MAXIFS(Tasks[_Row],Tasks[_Pred4UID],Tasks[[#This Row],[UID]])))</f>
        <v>0</v>
      </c>
      <c r="ET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2" s="89" t="str">
        <f aca="false">IF(NOT(Tasks[[#This Row],[_IsLeaf]]=1),"",IF(N(Tasks[[#This Row],[_Days]])&lt;=0,Tasks[[#This Row],[_LeafLateFinish]],WORKDAY.INTL(Tasks[[#This Row],[_LeafLateFinish]],-(Tasks[[#This Row],[_Days]]-1),WorkWeek,Holidays)))</f>
        <v/>
      </c>
      <c r="EW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2" s="88" t="b">
        <f aca="false">AND(Tasks[[#This Row],[_IsLeaf]]=1,Tasks[[#This Row],[_LeafProgress]]&lt;1,N(Tasks[[#This Row],[_LeafTotalSlack]])&lt;=CriticalSlackDays)</f>
        <v>0</v>
      </c>
      <c r="EY52" s="42" t="n">
        <f aca="false">IF(AND(Tasks[[#This Row],[_IsLeaf]]=1,Tasks[[#This Row],[_ConstraintCode]]=1,Tasks[[#This Row],[Mode]]&lt;&gt;"Manual",N(Tasks[[#This Row],[Actual Start]])=0),MAX(0,N(Tasks[[#This Row],[Free Slack]])),0)</f>
        <v>0</v>
      </c>
      <c r="EZ52" s="89" t="str">
        <f aca="false">IF(NOT(Tasks[[#This Row],[_IsLeaf]]=1),"",IF(Tasks[[#This Row],[_AlapShift]]=0,Tasks[[#This Row],[_LeafCalcStart]],WORKDAY.INTL(Tasks[[#This Row],[_LeafCalcStart]],Tasks[[#This Row],[_AlapShift]],WorkWeek,Holidays)))</f>
        <v/>
      </c>
      <c r="FA52" s="89" t="str">
        <f aca="false">IF(NOT(Tasks[[#This Row],[_IsLeaf]]=1),"",IF(Tasks[[#This Row],[_AlapShift]]=0,Tasks[[#This Row],[_LeafCalcFinish]],WORKDAY.INTL(Tasks[[#This Row],[_LeafCalcFinish]],Tasks[[#This Row],[_AlapShift]],WorkWeek,Holidays)))</f>
        <v/>
      </c>
      <c r="FB52" s="89" t="str">
        <f aca="false">IF(NOT(Tasks[[#This Row],[_IsLeaf]]=1),"",IF(Tasks[[#This Row],[_AlapShift]]=0,Tasks[[#This Row],[_LeafFcstStart]],WORKDAY.INTL(Tasks[[#This Row],[_LeafFcstStart]],Tasks[[#This Row],[_AlapShift]],WorkWeek,Holidays)))</f>
        <v/>
      </c>
      <c r="FC52" s="89" t="str">
        <f aca="false">IF(NOT(Tasks[[#This Row],[_IsLeaf]]=1),"",IF(Tasks[[#This Row],[_AlapShift]]=0,Tasks[[#This Row],[_LeafFcstFinish]],WORKDAY.INTL(Tasks[[#This Row],[_LeafFcstFinish]],Tasks[[#This Row],[_AlapShift]],WorkWeek,Holidays)))</f>
        <v/>
      </c>
      <c r="FD52" s="89" t="str">
        <f aca="false">IF(Tasks[[#This Row],[Task Name]]="","",IF(Tasks[[#This Row],[_IsSummary]],MIN(INDEX(Tasks[_ShownCalcStart],Tasks[[#This Row],[_Row]]+1):INDEX(Tasks[_ShownCalcStart],Tasks[[#This Row],[_Row]]+Tasks[[#This Row],[_Descendants]])),Tasks[[#This Row],[_ShownCalcStart]]))</f>
        <v/>
      </c>
      <c r="FE52" s="89" t="str">
        <f aca="false">IF(Tasks[[#This Row],[Task Name]]="","",IF(Tasks[[#This Row],[_IsSummary]],MAX(INDEX(Tasks[_ShownCalcFinish],Tasks[[#This Row],[_Row]]+1):INDEX(Tasks[_ShownCalcFinish],Tasks[[#This Row],[_Row]]+Tasks[[#This Row],[_Descendants]])),Tasks[[#This Row],[_ShownCalcFinish]]))</f>
        <v/>
      </c>
      <c r="FF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2" s="42" t="n">
        <f aca="false">IF(AND(Tasks[[#This Row],[_IsLeaf]]=1,Tasks[[#This Row],[_LeafTotalWork]]&gt;0),NETWORKDAYS.INTL(ProjectStart,Tasks[[#This Row],[_ShownFcstStart]],WorkWeek,Holidays),0)</f>
        <v>0</v>
      </c>
      <c r="FS52" s="42" t="n">
        <f aca="false">IF(AND(Tasks[[#This Row],[_IsLeaf]]=1,Tasks[[#This Row],[_LeafTotalWork]]&gt;0),MAX(Tasks[[#This Row],[_StartWorkday]],NETWORKDAYS.INTL(ProjectStart,Tasks[[#This Row],[_ShownFcstFinish]],WorkWeek,Holidays)),0)</f>
        <v>0</v>
      </c>
      <c r="FT52" s="42" t="n">
        <f aca="false">IF(AND(Tasks[[#This Row],[_IsLeaf]]=1,Tasks[[#This Row],[_LeafTotalWork]]&gt;0),Tasks[[#This Row],[_LeafWork]]/(Tasks[[#This Row],[_FinishWorkday]]-Tasks[[#This Row],[_StartWorkday]]+1),0)</f>
        <v>0</v>
      </c>
      <c r="FU52" s="42" t="n">
        <f aca="false">Tasks[[#This Row],[_WorkPerWorkday]]*(Tasks[[#This Row],[_StartWorkday]]-1)</f>
        <v>-0</v>
      </c>
      <c r="FV52" s="42" t="n">
        <f aca="false">IF(Tasks[[#This Row],[_IsLeaf]]=1,MAX(N(Tasks[[#This Row],[_Days]]),0.1),0)</f>
        <v>0</v>
      </c>
      <c r="FW52" s="42" t="n">
        <f aca="false">Tasks[[#This Row],[_WeightDur]]*Tasks[[#This Row],[_LeafProgress]]</f>
        <v>0</v>
      </c>
      <c r="FX52" s="42" t="n">
        <f aca="false">Tasks[[#This Row],[_WeightDur]]*Tasks[[#This Row],[_PlannedPct]]</f>
        <v>0</v>
      </c>
      <c r="FY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2" s="42" t="str">
        <f aca="false">IF(AND(Tasks[[#This Row],[_IsLeaf]]=1,N(Tasks[[#This Row],[_Days]])=0,Tasks[[#This Row],[_LeafProgress]]&lt;1),Tasks[[#This Row],[_ShownFcstFinish]]+Tasks[[#This Row],[_Row]]/100000,"")</f>
        <v/>
      </c>
      <c r="GA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2" s="42" t="str">
        <f aca="false">IF(Tasks[[#This Row],[Task Name]]="","",LEFT(Tasks[[#This Row],[WBS]],FIND(".",Tasks[[#This Row],[WBS]]&amp;".")-1))</f>
        <v/>
      </c>
      <c r="GC52" s="42" t="str">
        <f aca="false">IF(AND(Tasks[[#This Row],[Task Name]]&lt;&gt;"",Tasks[[#This Row],[_Level]]=1),Tasks[[#This Row],[_Row]],"")</f>
        <v/>
      </c>
      <c r="GD52" s="42" t="str">
        <f aca="false">IF(AND(Tasks[[#This Row],[_IsLeaf]]=1,N(Tasks[[#This Row],[_Days]])=0),Tasks[[#This Row],[Planned Finish]]+Tasks[[#This Row],[_Row]]/100000,"")</f>
        <v/>
      </c>
      <c r="GE52" s="42" t="str">
        <f aca="false">IF(AND(Tasks[[#This Row],[_IsLeaf]]=1,Tasks[[#This Row],[_LeafProgress]]&lt;1,OR(N(Tasks[[#This Row],[Finish Var]])&gt;0,Tasks[[#This Row],[Status]]="Late Start")),MAX(0,Tasks[[#This Row],[Finish Var]])+1-Tasks[[#This Row],[_Row]]/1000000,"")</f>
        <v/>
      </c>
      <c r="GF52" s="42" t="str">
        <f aca="false">IF(AND(Tasks[[#This Row],[_IsLeaf]]=1,N(Tasks[[#This Row],[Actual Start]])=0,Tasks[[#This Row],[_ShownFcstStart]]&gt;=StatusDate,Tasks[[#This Row],[_ShownFcstStart]]&lt;=LookaheadEnd),Tasks[[#This Row],[_ShownFcstStart]]+Tasks[[#This Row],[_Row]]/100000,"")</f>
        <v/>
      </c>
      <c r="GG52" s="42" t="str">
        <f aca="false">IF(AND(Tasks[[#This Row],[_IsLeaf]]=1,Tasks[[#This Row],[_LeafProgress]]&lt;1,Tasks[[#This Row],[_ShownFcstFinish]]&gt;=StatusDate,Tasks[[#This Row],[_ShownFcstFinish]]&lt;=LookaheadEnd),Tasks[[#This Row],[_ShownFcstFinish]]+Tasks[[#This Row],[_Row]]/100000,"")</f>
        <v/>
      </c>
      <c r="GH52" s="42" t="str">
        <f aca="false">IF(Tasks[[#This Row],[_LeafCritical]],Tasks[[#This Row],[_ShownFcstStart]]+Tasks[[#This Row],[_Row]]/100000,"")</f>
        <v/>
      </c>
      <c r="GI52" s="42" t="n">
        <f aca="false">Tasks[[#This Row],[_LeafWork]]*Tasks[[#This Row],[_LeafProgress]]</f>
        <v>0</v>
      </c>
      <c r="GJ52" s="89" t="str">
        <f aca="false">IF(AND(Tasks[[#This Row],[_IsLeaf]]=1,Tasks[[#This Row],[_LeafProgress]]&gt;=1),IF(N(Tasks[[#This Row],[Actual Finish]])&gt;0,Tasks[[#This Row],[Actual Finish]],Tasks[[#This Row],[_ShownFcstFinish]]),"")</f>
        <v/>
      </c>
      <c r="GK52" s="42" t="n">
        <f aca="false">IF(Tasks[[#This Row],[_IsLeaf]]=1,N(Tasks[[#This Row],[Story Points]]),0)</f>
        <v>0</v>
      </c>
      <c r="GL52" s="42" t="str">
        <f aca="false">""</f>
        <v/>
      </c>
      <c r="GM52" s="88" t="b">
        <f aca="false">IF(Tasks[[#This Row],[Task Name]]="",FALSE(),AND(Tasks[[#This Row],[_IsLeaf]]=1,N(Tasks[[#This Row],[_Days]])=0))</f>
        <v>0</v>
      </c>
      <c r="GN52" s="89" t="n">
        <f aca="false">IF(Tasks[[#This Row],[Task Name]]="",0,IF(AND(Tasks[[#This Row],[_IsLeaf]]=1,NOT(Tasks[[#This Row],[_IsMilestone]]),N(Tasks[[#This Row],[Progress]])&gt;0),Tasks[[#This Row],[Start]],0))</f>
        <v>0</v>
      </c>
      <c r="GO52" s="89" t="n">
        <f aca="false">IF(Tasks[[#This Row],[_DoneFrom]]=0,0,IF(Tasks[[#This Row],[Progress]]&gt;=1,Tasks[[#This Row],[Finish]],MAX(Tasks[[#This Row],[_DoneFrom]],Tasks[[#This Row],[Start]]+ROUND((Tasks[[#This Row],[Finish]]-Tasks[[#This Row],[Start]]+1)*Tasks[[#This Row],[Progress]],0)-1)))</f>
        <v>0</v>
      </c>
      <c r="GP52" s="89" t="n">
        <f aca="false">IF(Tasks[[#This Row],[Task Name]]="",0,IF(OR(NOT(Tasks[[#This Row],[_IsLeaf]]=1),Tasks[[#This Row],[_IsMilestone]],N(Tasks[[#This Row],[Progress]])&gt;=1),0,IF(Tasks[[#This Row],[_DoneTo]]&gt;0,Tasks[[#This Row],[_DoneTo]]+1,Tasks[[#This Row],[Start]])))</f>
        <v>0</v>
      </c>
      <c r="GQ52" s="89" t="n">
        <f aca="false">IF(Tasks[[#This Row],[_RemFrom]]=0,0,Tasks[[#This Row],[Finish]])</f>
        <v>0</v>
      </c>
      <c r="GR52" s="88" t="b">
        <f aca="false">IF(Tasks[[#This Row],[Task Name]]="",FALSE(),OR(NOT(BaselineSet),N(Tasks[[#This Row],[Baseline Start]])&gt;0))</f>
        <v>0</v>
      </c>
      <c r="GS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2" s="90" t="str">
        <f aca="false">IF(Tasks[[#This Row],[_IsLeaf]]=1,Tasks[[#This Row],[_Row]],"")</f>
        <v/>
      </c>
      <c r="GW52" s="90" t="str">
        <f aca="false">IFERROR(INDEX(Tasks[UID],SMALL(Tasks[_PickKey],Tasks[[#This Row],[_Row]]))&amp;" "&amp;INDEX(Tasks[Task Name],SMALL(Tasks[_PickKey],Tasks[[#This Row],[_Row]])),"")</f>
        <v/>
      </c>
      <c r="GX52" s="42" t="str">
        <f aca="false">IF(Tasks[[#This Row],[Task Name]]="","",IF(Tasks[[#This Row],[_IsSummary]],NETWORKDAYS.INTL(Tasks[[#This Row],[Start]],Tasks[[#This Row],[Finish]],WorkWeek,Holidays),N(Tasks[[#This Row],[_Days]])))</f>
        <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3"/>
      <c r="U53" s="23"/>
      <c r="V53" s="83"/>
      <c r="W53" s="23"/>
      <c r="X53" s="83"/>
      <c r="Y53" s="23"/>
      <c r="Z53" s="83"/>
      <c r="AA53" s="23"/>
      <c r="AB53" s="23"/>
      <c r="AC53" s="7"/>
      <c r="AD53" s="7"/>
      <c r="AE53" s="62" t="str">
        <f aca="false">IF(Tasks[[#This Row],[Task Name]]="","",IF(Tasks[[#This Row],[_IsSummary]],MIN(INDEX(Tasks[_ShownFcstStart],Tasks[[#This Row],[_Row]]+1):INDEX(Tasks[_ShownFcstStart],Tasks[[#This Row],[_Row]]+Tasks[[#This Row],[_Descendants]])),Tasks[[#This Row],[_ShownFcstStart]]))</f>
        <v/>
      </c>
      <c r="AF53" s="62"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3" s="7"/>
      <c r="AK53" s="22"/>
      <c r="AL53" s="23"/>
      <c r="AM53" s="7"/>
      <c r="AN53" s="46"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2" t="str">
        <f aca="false">IF(Tasks[[#This Row],[Task Name]]="","",IF(N(Tasks[[#This Row],[Baseline Start]])&gt;0,Tasks[[#This Row],[Baseline Start]],Tasks[[#This Row],[_CalcStart]]))</f>
        <v/>
      </c>
      <c r="AR53" s="62" t="str">
        <f aca="false">IF(Tasks[[#This Row],[Task Name]]="","",IF(N(Tasks[[#This Row],[Baseline Finish]])&gt;0,Tasks[[#This Row],[Baseline Finish]],Tasks[[#This Row],[_CalcFinish]]))</f>
        <v/>
      </c>
      <c r="AS53" s="46" t="str">
        <f aca="false">IF(Tasks[[#This Row],[Task Name]]="","",IF(Tasks[[#This Row],[Start]]&gt;=Tasks[[#This Row],[Planned Start]],NETWORKDAYS.INTL(Tasks[[#This Row],[Planned Start]],Tasks[[#This Row],[Start]],WorkWeek,Holidays)-1,1-NETWORKDAYS.INTL(Tasks[[#This Row],[Start]],Tasks[[#This Row],[Planned Start]],WorkWeek,Holidays)))</f>
        <v/>
      </c>
      <c r="AT53" s="62" t="str">
        <f aca="false">IF(Tasks[[#This Row],[Task Name]]="","",IF(Tasks[[#This Row],[_IsSummary]],MIN(INDEX(Tasks[_LeafLateStart],Tasks[[#This Row],[_Row]]+1):INDEX(Tasks[_LeafLateStart],Tasks[[#This Row],[_Row]]+Tasks[[#This Row],[_Descendants]])),Tasks[[#This Row],[_LeafLateStart]]))</f>
        <v/>
      </c>
      <c r="AU53" s="62" t="str">
        <f aca="false">IF(Tasks[[#This Row],[Task Name]]="","",IF(Tasks[[#This Row],[_IsSummary]],MAX(INDEX(Tasks[_LeafLateFinish],Tasks[[#This Row],[_Row]]+1):INDEX(Tasks[_LeafLateFinish],Tasks[[#This Row],[_Row]]+Tasks[[#This Row],[_Descendants]])),Tasks[[#This Row],[_LeafLateFinish]]))</f>
        <v/>
      </c>
      <c r="AV53" s="46"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4"/>
      <c r="BA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5"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6"/>
      <c r="BJ53" s="22"/>
      <c r="BK53" s="46" t="str">
        <f aca="false">IF(OR(Tasks[[#This Row],[Task Name]]="",Tasks[[#This Row],[Baseline Duration]]=""),"",Tasks[[#This Row],[_SpanDays]]-N(Tasks[[#This Row],[Baseline Duration]]))</f>
        <v/>
      </c>
      <c r="BL53" s="85" t="str">
        <f aca="false">IF(OR(Tasks[[#This Row],[Task Name]]="",Tasks[[#This Row],[Baseline Work]]=""),"",Tasks[[#This Row],[Work]]-N(Tasks[[#This Row],[Baseline Work]]))</f>
        <v/>
      </c>
      <c r="BM53" s="62" t="str">
        <f aca="false">IF(Tasks[[#This Row],[Task Name]]="","",IF(OR(TakeBaseline="Yes",N(Tasks[[#This Row],[Baseline Start]])=0),Tasks[[#This Row],[Start]],Tasks[[#This Row],[Baseline Start]]))</f>
        <v/>
      </c>
      <c r="BN53" s="62"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5" t="str">
        <f aca="false">IF(Tasks[[#This Row],[Task Name]]="","",IF(OR(TakeBaseline="Yes",N(Tasks[[#This Row],[Baseline Work]])=0),Tasks[[#This Row],[Work]],Tasks[[#This Row],[Baseline Work]]))</f>
        <v/>
      </c>
      <c r="BQ53" s="7"/>
      <c r="BR53" s="7"/>
      <c r="BS53" s="22"/>
      <c r="BT53" s="87"/>
      <c r="BU53" s="42" t="str">
        <f aca="false">IF(Tasks[[#This Row],[Task Name]]="","",MAX(1,N(Tasks[[#This Row],[Level]])))</f>
        <v/>
      </c>
      <c r="BV53" s="42" t="n">
        <f aca="false">ROW()-ROW(Tasks[[#Headers],[ID]])</f>
        <v>48</v>
      </c>
      <c r="BW53" s="42" t="n">
        <f aca="false">IF(OR(Tasks[[#This Row],[Task Name]]="",Tasks[[#This Row],[_Level]]&lt;=1),0,IFERROR(LOOKUP(2,1/(Tasks[[#Headers],[_Level]]:Tasks[[#This Row],[_Level]]=Tasks[[#This Row],[_Level]]-1),ROW(Tasks[[#Headers],[_Level]]:Tasks[[#This Row],[_Level]])),0))</f>
        <v>0</v>
      </c>
      <c r="BX53" s="42" t="n">
        <f aca="false">IFERROR(N(INDEX(Tasks[_Level],Tasks[[#This Row],[_Row]]+1)),0)</f>
        <v>0</v>
      </c>
      <c r="BY53" s="88" t="b">
        <f aca="false">AND(Tasks[[#This Row],[Task Name]]&lt;&gt;"",Tasks[[#This Row],[_NextLevel]]&gt;Tasks[[#This Row],[_Level]])</f>
        <v>0</v>
      </c>
      <c r="BZ53" s="42" t="n">
        <f aca="false">IF(Tasks[[#This Row],[_IsSummary]],COUNTIF(Tasks[WBS],Tasks[[#This Row],[WBS]]&amp;".*"),0)</f>
        <v>0</v>
      </c>
      <c r="CA53" s="42" t="n">
        <f aca="false">IF(AND(Tasks[[#This Row],[Task Name]]&lt;&gt;"",NOT(Tasks[[#This Row],[_IsSummary]])),1,0)</f>
        <v>0</v>
      </c>
      <c r="CB53" s="42" t="n">
        <f aca="false">IF(N(Tasks[[#This Row],[_Pred1UID]])=0,0,IFERROR(MATCH(Tasks[[#This Row],[_Pred1UID]],Tasks[UID],0),-1))</f>
        <v>0</v>
      </c>
      <c r="CC53" s="42" t="n">
        <f aca="false">IF(N(Tasks[[#This Row],[_Pred2UID]])=0,0,IFERROR(MATCH(Tasks[[#This Row],[_Pred2UID]],Tasks[UID],0),-1))</f>
        <v>0</v>
      </c>
      <c r="CD53" s="42" t="n">
        <f aca="false">IF(N(Tasks[[#This Row],[_Pred3UID]])=0,0,IFERROR(MATCH(Tasks[[#This Row],[_Pred3UID]],Tasks[UID],0),-1))</f>
        <v>0</v>
      </c>
      <c r="CE53" s="42" t="n">
        <f aca="false">IF(N(Tasks[[#This Row],[_Pred4UID]])=0,0,IFERROR(MATCH(Tasks[[#This Row],[_Pred4UID]],Tasks[UID],0),-1))</f>
        <v>0</v>
      </c>
      <c r="CF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3" s="89" t="n">
        <f aca="false">IF(OR(Tasks[[#This Row],[_ConstraintCode]]=2,Tasks[[#This Row],[_ConstraintCode]]=3,Tasks[[#This Row],[_ConstraintCode]]=4,Tasks[[#This Row],[_ConstraintCode]]=6),Tasks[[#This Row],[_ConstraintStart]],0)</f>
        <v>0</v>
      </c>
      <c r="CI53" s="89" t="n">
        <f aca="false">IF(OR(Tasks[[#This Row],[_ConstraintCode]]=2,Tasks[[#This Row],[_ConstraintCode]]=3,Tasks[[#This Row],[_ConstraintCode]]=5,Tasks[[#This Row],[_ConstraintCode]]=7),Tasks[[#This Row],[_ConstraintStart]],2958465)</f>
        <v>2958465</v>
      </c>
      <c r="CJ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3" s="89" t="str">
        <f aca="false">IF(NOT(Tasks[[#This Row],[_IsLeaf]]=1),"",IF(N(Tasks[[#This Row],[_Days]])&lt;=0,Tasks[[#This Row],[_LeafCalcStart]],WORKDAY.INTL(Tasks[[#This Row],[_LeafCalcStart]],Tasks[[#This Row],[_Days]]-1,WorkWeek,Holidays)))</f>
        <v/>
      </c>
      <c r="CL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3" s="42" t="str">
        <f aca="false">IF(Tasks[[#This Row],[_Predecessors]]="","",TRIM(MID(SUBSTITUTE(SUBSTITUTE(SUBSTITUTE(UPPER(Tasks[[#This Row],[_Predecessors]]),";",",")," ",""),",",REPT(" ",99)),1,99)))</f>
        <v/>
      </c>
      <c r="CO53" s="42" t="str">
        <f aca="false">IF(Tasks[[#This Row],[_Pred1Text]]="","",IFERROR(VALUE(LEFT(Tasks[[#This Row],[_Pred1Text]],MIN(FIND("F",Tasks[[#This Row],[_Pred1Text]]&amp;"F"),FIND("S",Tasks[[#This Row],[_Pred1Text]]&amp;"S"),FIND("+",Tasks[[#This Row],[_Pred1Text]]&amp;"+"),FIND("-",Tasks[[#This Row],[_Pred1Text]]&amp;"-"))-1)),""))</f>
        <v/>
      </c>
      <c r="CP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3" s="42" t="str">
        <f aca="false">IF(Tasks[[#This Row],[_Pred1Text]]="","",TRIM(MID(SUBSTITUTE(SUBSTITUTE(SUBSTITUTE(UPPER(Tasks[[#This Row],[_Predecessors]]),";",",")," ",""),",",REPT(" ",99)),100,99)))</f>
        <v/>
      </c>
      <c r="CS53" s="42" t="str">
        <f aca="false">IF(Tasks[[#This Row],[_Pred2Text]]="","",IFERROR(VALUE(LEFT(Tasks[[#This Row],[_Pred2Text]],MIN(FIND("F",Tasks[[#This Row],[_Pred2Text]]&amp;"F"),FIND("S",Tasks[[#This Row],[_Pred2Text]]&amp;"S"),FIND("+",Tasks[[#This Row],[_Pred2Text]]&amp;"+"),FIND("-",Tasks[[#This Row],[_Pred2Text]]&amp;"-"))-1)),""))</f>
        <v/>
      </c>
      <c r="CT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3" s="42" t="str">
        <f aca="false">IF(Tasks[[#This Row],[_Pred2Text]]="","",TRIM(MID(SUBSTITUTE(SUBSTITUTE(SUBSTITUTE(UPPER(Tasks[[#This Row],[_Predecessors]]),";",",")," ",""),",",REPT(" ",99)),199,99)))</f>
        <v/>
      </c>
      <c r="CW53" s="42" t="str">
        <f aca="false">IF(Tasks[[#This Row],[_Pred3Text]]="","",IFERROR(VALUE(LEFT(Tasks[[#This Row],[_Pred3Text]],MIN(FIND("F",Tasks[[#This Row],[_Pred3Text]]&amp;"F"),FIND("S",Tasks[[#This Row],[_Pred3Text]]&amp;"S"),FIND("+",Tasks[[#This Row],[_Pred3Text]]&amp;"+"),FIND("-",Tasks[[#This Row],[_Pred3Text]]&amp;"-"))-1)),""))</f>
        <v/>
      </c>
      <c r="CX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3" s="42" t="str">
        <f aca="false">IF(Tasks[[#This Row],[_Pred3Text]]="","",TRIM(MID(SUBSTITUTE(SUBSTITUTE(SUBSTITUTE(UPPER(Tasks[[#This Row],[_Predecessors]]),";",",")," ",""),",",REPT(" ",99)),298,99)))</f>
        <v/>
      </c>
      <c r="DA53" s="42" t="str">
        <f aca="false">IF(Tasks[[#This Row],[_Pred4Text]]="","",IFERROR(VALUE(LEFT(Tasks[[#This Row],[_Pred4Text]],MIN(FIND("F",Tasks[[#This Row],[_Pred4Text]]&amp;"F"),FIND("S",Tasks[[#This Row],[_Pred4Text]]&amp;"S"),FIND("+",Tasks[[#This Row],[_Pred4Text]]&amp;"+"),FIND("-",Tasks[[#This Row],[_Pred4Text]]&amp;"-"))-1)),""))</f>
        <v/>
      </c>
      <c r="DB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3" s="42" t="str">
        <f aca="false">IF(OR(Tasks[[#This Row],[Task Name]]="",Tasks[[#This Row],[_Resources]]=""),"",TRIM(MID(SUBSTITUTE(Tasks[[#This Row],[_Resources]],",",REPT(" ",99)),1,99)))</f>
        <v/>
      </c>
      <c r="DE53" s="42" t="str">
        <f aca="false">IF(Tasks[[#This Row],[_Res1Text]]="","",TRIM(MID(SUBSTITUTE(Tasks[[#This Row],[_Resources]],",",REPT(" ",99)),100,99)))</f>
        <v/>
      </c>
      <c r="DF53" s="42" t="str">
        <f aca="false">IF(Tasks[[#This Row],[_Res2Text]]="","",TRIM(MID(SUBSTITUTE(Tasks[[#This Row],[_Resources]],",",REPT(" ",99)),199,99)))</f>
        <v/>
      </c>
      <c r="DG53" s="42" t="str">
        <f aca="false">IF(Tasks[[#This Row],[_Res3Text]]="","",TRIM(MID(SUBSTITUTE(Tasks[[#This Row],[_Resources]],",",REPT(" ",99)),298,99)))</f>
        <v/>
      </c>
      <c r="DH53" s="42" t="n">
        <f aca="false">IF(Tasks[[#This Row],[_Res1Text]]="",0,IFERROR(MATCH(TRIM(LEFT(Tasks[[#This Row],[_Res1Text]],FIND("[",Tasks[[#This Row],[_Res1Text]]&amp;"[")-1)),res_Name,0),IFERROR(MATCH(TRIM(LEFT(Tasks[[#This Row],[_Res1Text]],FIND("[",Tasks[[#This Row],[_Res1Text]]&amp;"[")-1)),res_Initials,0),0)))</f>
        <v>0</v>
      </c>
      <c r="DI53" s="42" t="n">
        <f aca="false">IF(Tasks[[#This Row],[_Res2Text]]="",0,IFERROR(MATCH(TRIM(LEFT(Tasks[[#This Row],[_Res2Text]],FIND("[",Tasks[[#This Row],[_Res2Text]]&amp;"[")-1)),res_Name,0),IFERROR(MATCH(TRIM(LEFT(Tasks[[#This Row],[_Res2Text]],FIND("[",Tasks[[#This Row],[_Res2Text]]&amp;"[")-1)),res_Initials,0),0)))</f>
        <v>0</v>
      </c>
      <c r="DJ53" s="42" t="n">
        <f aca="false">IF(Tasks[[#This Row],[_Res3Text]]="",0,IFERROR(MATCH(TRIM(LEFT(Tasks[[#This Row],[_Res3Text]],FIND("[",Tasks[[#This Row],[_Res3Text]]&amp;"[")-1)),res_Name,0),IFERROR(MATCH(TRIM(LEFT(Tasks[[#This Row],[_Res3Text]],FIND("[",Tasks[[#This Row],[_Res3Text]]&amp;"[")-1)),res_Initials,0),0)))</f>
        <v>0</v>
      </c>
      <c r="DK53" s="42" t="n">
        <f aca="false">IF(Tasks[[#This Row],[_Res4Text]]="",0,IFERROR(MATCH(TRIM(LEFT(Tasks[[#This Row],[_Res4Text]],FIND("[",Tasks[[#This Row],[_Res4Text]]&amp;"[")-1)),res_Name,0),IFERROR(MATCH(TRIM(LEFT(Tasks[[#This Row],[_Res4Text]],FIND("[",Tasks[[#This Row],[_Res4Text]]&amp;"[")-1)),res_Initials,0),0)))</f>
        <v>0</v>
      </c>
      <c r="DL53" s="42" t="str">
        <f aca="false">IF(Tasks[[#This Row],[_Res1Text]]="","",IF(Tasks[[#This Row],[_Res1Row]]&gt;0,INDEX(res_Name,Tasks[[#This Row],[_Res1Row]]),TRIM(LEFT(Tasks[[#This Row],[_Res1Text]],FIND("[",Tasks[[#This Row],[_Res1Text]]&amp;"[")-1))))</f>
        <v/>
      </c>
      <c r="DM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3" s="42" t="n">
        <f aca="false">IF(NOT(Tasks[[#This Row],[_IsLeaf]]=1),0,(Tasks[[#This Row],[_Resource1]]&lt;&gt;"")+(Tasks[[#This Row],[_Res2]]&lt;&gt;"")+(Tasks[[#This Row],[_Res3]]&lt;&gt;"")+(Tasks[[#This Row],[_Res4]]&lt;&gt;""))</f>
        <v>0</v>
      </c>
      <c r="DO53" s="42" t="str">
        <f aca="false">IF(Tasks[[#This Row],[_Res2Text]]="","",IF(Tasks[[#This Row],[_Res2Row]]&gt;0,INDEX(res_Name,Tasks[[#This Row],[_Res2Row]]),TRIM(LEFT(Tasks[[#This Row],[_Res2Text]],FIND("[",Tasks[[#This Row],[_Res2Text]]&amp;"[")-1))))</f>
        <v/>
      </c>
      <c r="DP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3" s="42" t="n">
        <f aca="false">IF(OR(NOT(Tasks[[#This Row],[_IsLeaf]]=1),Tasks[[#This Row],[_Res2Row]]=0),0,N(Tasks[[#This Row],[_Days]])*HoursPerDay*IF(Tasks[[#This Row],[_Res2Units]]="",DefaultUnits,Tasks[[#This Row],[_Res2Units]]))</f>
        <v>0</v>
      </c>
      <c r="DR53" s="42" t="n">
        <f aca="false">IF(AND(AND(Tasks[[#This Row],[_IsLeaf]]=1,Tasks[[#This Row],[_LeafTotalWork]]&gt;0),Tasks[[#This Row],[_Res2Work]]&gt;0),Tasks[[#This Row],[_Res2Work]]/(Tasks[[#This Row],[_FinishWorkday]]-Tasks[[#This Row],[_StartWorkday]]+1),0)</f>
        <v>0</v>
      </c>
      <c r="DS53" s="42" t="n">
        <f aca="false">Tasks[[#This Row],[_Res2WorkPerWD]]*MAX(0,Tasks[[#This Row],[_StartWorkday]]-1)</f>
        <v>0</v>
      </c>
      <c r="DT53" s="42" t="n">
        <f aca="false">Tasks[[#This Row],[_Res2Work]]*Tasks[[#This Row],[_LeafProgress]]</f>
        <v>0</v>
      </c>
      <c r="DU53" s="42" t="str">
        <f aca="false">IF(Tasks[[#This Row],[_Res3Text]]="","",IF(Tasks[[#This Row],[_Res3Row]]&gt;0,INDEX(res_Name,Tasks[[#This Row],[_Res3Row]]),TRIM(LEFT(Tasks[[#This Row],[_Res3Text]],FIND("[",Tasks[[#This Row],[_Res3Text]]&amp;"[")-1))))</f>
        <v/>
      </c>
      <c r="DV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3" s="42" t="n">
        <f aca="false">IF(OR(NOT(Tasks[[#This Row],[_IsLeaf]]=1),Tasks[[#This Row],[_Res3Row]]=0),0,N(Tasks[[#This Row],[_Days]])*HoursPerDay*IF(Tasks[[#This Row],[_Res3Units]]="",DefaultUnits,Tasks[[#This Row],[_Res3Units]]))</f>
        <v>0</v>
      </c>
      <c r="DX53" s="42" t="n">
        <f aca="false">IF(AND(AND(Tasks[[#This Row],[_IsLeaf]]=1,Tasks[[#This Row],[_LeafTotalWork]]&gt;0),Tasks[[#This Row],[_Res3Work]]&gt;0),Tasks[[#This Row],[_Res3Work]]/(Tasks[[#This Row],[_FinishWorkday]]-Tasks[[#This Row],[_StartWorkday]]+1),0)</f>
        <v>0</v>
      </c>
      <c r="DY53" s="42" t="n">
        <f aca="false">Tasks[[#This Row],[_Res3WorkPerWD]]*MAX(0,Tasks[[#This Row],[_StartWorkday]]-1)</f>
        <v>0</v>
      </c>
      <c r="DZ53" s="42" t="n">
        <f aca="false">Tasks[[#This Row],[_Res3Work]]*Tasks[[#This Row],[_LeafProgress]]</f>
        <v>0</v>
      </c>
      <c r="EA53" s="42" t="str">
        <f aca="false">IF(Tasks[[#This Row],[_Res4Text]]="","",IF(Tasks[[#This Row],[_Res4Row]]&gt;0,INDEX(res_Name,Tasks[[#This Row],[_Res4Row]]),TRIM(LEFT(Tasks[[#This Row],[_Res4Text]],FIND("[",Tasks[[#This Row],[_Res4Text]]&amp;"[")-1))))</f>
        <v/>
      </c>
      <c r="EB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3" s="42" t="n">
        <f aca="false">IF(OR(NOT(Tasks[[#This Row],[_IsLeaf]]=1),Tasks[[#This Row],[_Res4Row]]=0),0,N(Tasks[[#This Row],[_Days]])*HoursPerDay*IF(Tasks[[#This Row],[_Res4Units]]="",DefaultUnits,Tasks[[#This Row],[_Res4Units]]))</f>
        <v>0</v>
      </c>
      <c r="ED53" s="42" t="n">
        <f aca="false">IF(AND(AND(Tasks[[#This Row],[_IsLeaf]]=1,Tasks[[#This Row],[_LeafTotalWork]]&gt;0),Tasks[[#This Row],[_Res4Work]]&gt;0),Tasks[[#This Row],[_Res4Work]]/(Tasks[[#This Row],[_FinishWorkday]]-Tasks[[#This Row],[_StartWorkday]]+1),0)</f>
        <v>0</v>
      </c>
      <c r="EE53" s="42" t="n">
        <f aca="false">Tasks[[#This Row],[_Res4WorkPerWD]]*MAX(0,Tasks[[#This Row],[_StartWorkday]]-1)</f>
        <v>0</v>
      </c>
      <c r="EF53" s="42" t="n">
        <f aca="false">Tasks[[#This Row],[_Res4Work]]*Tasks[[#This Row],[_LeafProgress]]</f>
        <v>0</v>
      </c>
      <c r="EG53" s="42" t="n">
        <f aca="false">IF(ISNUMBER(Tasks[[#This Row],[% Complete]]),Tasks[[#This Row],[% Complete]],IF(Tasks[[#This Row],[Stage]]="",0,IFERROR(INDEX(stg_Pct,MATCH(Tasks[[#This Row],[Stage]],stg_Name,0)),0)))</f>
        <v>0</v>
      </c>
      <c r="EH53" s="42" t="n">
        <f aca="false">IF(NOT(Tasks[[#This Row],[_IsLeaf]]=1),0,IF(N(Tasks[[#This Row],[Actual Finish]])&gt;0,1,MIN(1,Tasks[[#This Row],[_Pct]])))</f>
        <v>0</v>
      </c>
      <c r="EI53" s="42" t="n">
        <f aca="false">IF(OR(NOT(Tasks[[#This Row],[_IsLeaf]]=1),Tasks[[#This Row],[_Res1Row]]=0),0,N(Tasks[[#This Row],[_Days]])*HoursPerDay*IF(Tasks[[#This Row],[_Units1]]="",DefaultUnits,Tasks[[#This Row],[_Units1]]))</f>
        <v>0</v>
      </c>
      <c r="EJ53" s="42" t="n">
        <f aca="false">Tasks[[#This Row],[_LeafWork]]+Tasks[[#This Row],[_Res2Work]]+Tasks[[#This Row],[_Res3Work]]+Tasks[[#This Row],[_Res4Work]]</f>
        <v>0</v>
      </c>
      <c r="EK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3" s="42" t="n">
        <f aca="false">IF(NOT(Tasks[[#This Row],[_IsLeaf]]=1),0,MAX(_xlfn.MAXIFS(Tasks[_Row],Tasks[_Pred1UID],Tasks[[#This Row],[UID]]),_xlfn.MAXIFS(Tasks[_Row],Tasks[_Pred2UID],Tasks[[#This Row],[UID]]),_xlfn.MAXIFS(Tasks[_Row],Tasks[_Pred3UID],Tasks[[#This Row],[UID]]),_xlfn.MAXIFS(Tasks[_Row],Tasks[_Pred4UID],Tasks[[#This Row],[UID]])))</f>
        <v>0</v>
      </c>
      <c r="ET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3" s="89" t="str">
        <f aca="false">IF(NOT(Tasks[[#This Row],[_IsLeaf]]=1),"",IF(N(Tasks[[#This Row],[_Days]])&lt;=0,Tasks[[#This Row],[_LeafLateFinish]],WORKDAY.INTL(Tasks[[#This Row],[_LeafLateFinish]],-(Tasks[[#This Row],[_Days]]-1),WorkWeek,Holidays)))</f>
        <v/>
      </c>
      <c r="EW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3" s="88" t="b">
        <f aca="false">AND(Tasks[[#This Row],[_IsLeaf]]=1,Tasks[[#This Row],[_LeafProgress]]&lt;1,N(Tasks[[#This Row],[_LeafTotalSlack]])&lt;=CriticalSlackDays)</f>
        <v>0</v>
      </c>
      <c r="EY53" s="42" t="n">
        <f aca="false">IF(AND(Tasks[[#This Row],[_IsLeaf]]=1,Tasks[[#This Row],[_ConstraintCode]]=1,Tasks[[#This Row],[Mode]]&lt;&gt;"Manual",N(Tasks[[#This Row],[Actual Start]])=0),MAX(0,N(Tasks[[#This Row],[Free Slack]])),0)</f>
        <v>0</v>
      </c>
      <c r="EZ53" s="89" t="str">
        <f aca="false">IF(NOT(Tasks[[#This Row],[_IsLeaf]]=1),"",IF(Tasks[[#This Row],[_AlapShift]]=0,Tasks[[#This Row],[_LeafCalcStart]],WORKDAY.INTL(Tasks[[#This Row],[_LeafCalcStart]],Tasks[[#This Row],[_AlapShift]],WorkWeek,Holidays)))</f>
        <v/>
      </c>
      <c r="FA53" s="89" t="str">
        <f aca="false">IF(NOT(Tasks[[#This Row],[_IsLeaf]]=1),"",IF(Tasks[[#This Row],[_AlapShift]]=0,Tasks[[#This Row],[_LeafCalcFinish]],WORKDAY.INTL(Tasks[[#This Row],[_LeafCalcFinish]],Tasks[[#This Row],[_AlapShift]],WorkWeek,Holidays)))</f>
        <v/>
      </c>
      <c r="FB53" s="89" t="str">
        <f aca="false">IF(NOT(Tasks[[#This Row],[_IsLeaf]]=1),"",IF(Tasks[[#This Row],[_AlapShift]]=0,Tasks[[#This Row],[_LeafFcstStart]],WORKDAY.INTL(Tasks[[#This Row],[_LeafFcstStart]],Tasks[[#This Row],[_AlapShift]],WorkWeek,Holidays)))</f>
        <v/>
      </c>
      <c r="FC53" s="89" t="str">
        <f aca="false">IF(NOT(Tasks[[#This Row],[_IsLeaf]]=1),"",IF(Tasks[[#This Row],[_AlapShift]]=0,Tasks[[#This Row],[_LeafFcstFinish]],WORKDAY.INTL(Tasks[[#This Row],[_LeafFcstFinish]],Tasks[[#This Row],[_AlapShift]],WorkWeek,Holidays)))</f>
        <v/>
      </c>
      <c r="FD53" s="89" t="str">
        <f aca="false">IF(Tasks[[#This Row],[Task Name]]="","",IF(Tasks[[#This Row],[_IsSummary]],MIN(INDEX(Tasks[_ShownCalcStart],Tasks[[#This Row],[_Row]]+1):INDEX(Tasks[_ShownCalcStart],Tasks[[#This Row],[_Row]]+Tasks[[#This Row],[_Descendants]])),Tasks[[#This Row],[_ShownCalcStart]]))</f>
        <v/>
      </c>
      <c r="FE53" s="89" t="str">
        <f aca="false">IF(Tasks[[#This Row],[Task Name]]="","",IF(Tasks[[#This Row],[_IsSummary]],MAX(INDEX(Tasks[_ShownCalcFinish],Tasks[[#This Row],[_Row]]+1):INDEX(Tasks[_ShownCalcFinish],Tasks[[#This Row],[_Row]]+Tasks[[#This Row],[_Descendants]])),Tasks[[#This Row],[_ShownCalcFinish]]))</f>
        <v/>
      </c>
      <c r="FF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3" s="42" t="n">
        <f aca="false">IF(AND(Tasks[[#This Row],[_IsLeaf]]=1,Tasks[[#This Row],[_LeafTotalWork]]&gt;0),NETWORKDAYS.INTL(ProjectStart,Tasks[[#This Row],[_ShownFcstStart]],WorkWeek,Holidays),0)</f>
        <v>0</v>
      </c>
      <c r="FS53" s="42" t="n">
        <f aca="false">IF(AND(Tasks[[#This Row],[_IsLeaf]]=1,Tasks[[#This Row],[_LeafTotalWork]]&gt;0),MAX(Tasks[[#This Row],[_StartWorkday]],NETWORKDAYS.INTL(ProjectStart,Tasks[[#This Row],[_ShownFcstFinish]],WorkWeek,Holidays)),0)</f>
        <v>0</v>
      </c>
      <c r="FT53" s="42" t="n">
        <f aca="false">IF(AND(Tasks[[#This Row],[_IsLeaf]]=1,Tasks[[#This Row],[_LeafTotalWork]]&gt;0),Tasks[[#This Row],[_LeafWork]]/(Tasks[[#This Row],[_FinishWorkday]]-Tasks[[#This Row],[_StartWorkday]]+1),0)</f>
        <v>0</v>
      </c>
      <c r="FU53" s="42" t="n">
        <f aca="false">Tasks[[#This Row],[_WorkPerWorkday]]*(Tasks[[#This Row],[_StartWorkday]]-1)</f>
        <v>-0</v>
      </c>
      <c r="FV53" s="42" t="n">
        <f aca="false">IF(Tasks[[#This Row],[_IsLeaf]]=1,MAX(N(Tasks[[#This Row],[_Days]]),0.1),0)</f>
        <v>0</v>
      </c>
      <c r="FW53" s="42" t="n">
        <f aca="false">Tasks[[#This Row],[_WeightDur]]*Tasks[[#This Row],[_LeafProgress]]</f>
        <v>0</v>
      </c>
      <c r="FX53" s="42" t="n">
        <f aca="false">Tasks[[#This Row],[_WeightDur]]*Tasks[[#This Row],[_PlannedPct]]</f>
        <v>0</v>
      </c>
      <c r="FY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3" s="42" t="str">
        <f aca="false">IF(AND(Tasks[[#This Row],[_IsLeaf]]=1,N(Tasks[[#This Row],[_Days]])=0,Tasks[[#This Row],[_LeafProgress]]&lt;1),Tasks[[#This Row],[_ShownFcstFinish]]+Tasks[[#This Row],[_Row]]/100000,"")</f>
        <v/>
      </c>
      <c r="GA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3" s="42" t="str">
        <f aca="false">IF(Tasks[[#This Row],[Task Name]]="","",LEFT(Tasks[[#This Row],[WBS]],FIND(".",Tasks[[#This Row],[WBS]]&amp;".")-1))</f>
        <v/>
      </c>
      <c r="GC53" s="42" t="str">
        <f aca="false">IF(AND(Tasks[[#This Row],[Task Name]]&lt;&gt;"",Tasks[[#This Row],[_Level]]=1),Tasks[[#This Row],[_Row]],"")</f>
        <v/>
      </c>
      <c r="GD53" s="42" t="str">
        <f aca="false">IF(AND(Tasks[[#This Row],[_IsLeaf]]=1,N(Tasks[[#This Row],[_Days]])=0),Tasks[[#This Row],[Planned Finish]]+Tasks[[#This Row],[_Row]]/100000,"")</f>
        <v/>
      </c>
      <c r="GE53" s="42" t="str">
        <f aca="false">IF(AND(Tasks[[#This Row],[_IsLeaf]]=1,Tasks[[#This Row],[_LeafProgress]]&lt;1,OR(N(Tasks[[#This Row],[Finish Var]])&gt;0,Tasks[[#This Row],[Status]]="Late Start")),MAX(0,Tasks[[#This Row],[Finish Var]])+1-Tasks[[#This Row],[_Row]]/1000000,"")</f>
        <v/>
      </c>
      <c r="GF53" s="42" t="str">
        <f aca="false">IF(AND(Tasks[[#This Row],[_IsLeaf]]=1,N(Tasks[[#This Row],[Actual Start]])=0,Tasks[[#This Row],[_ShownFcstStart]]&gt;=StatusDate,Tasks[[#This Row],[_ShownFcstStart]]&lt;=LookaheadEnd),Tasks[[#This Row],[_ShownFcstStart]]+Tasks[[#This Row],[_Row]]/100000,"")</f>
        <v/>
      </c>
      <c r="GG53" s="42" t="str">
        <f aca="false">IF(AND(Tasks[[#This Row],[_IsLeaf]]=1,Tasks[[#This Row],[_LeafProgress]]&lt;1,Tasks[[#This Row],[_ShownFcstFinish]]&gt;=StatusDate,Tasks[[#This Row],[_ShownFcstFinish]]&lt;=LookaheadEnd),Tasks[[#This Row],[_ShownFcstFinish]]+Tasks[[#This Row],[_Row]]/100000,"")</f>
        <v/>
      </c>
      <c r="GH53" s="42" t="str">
        <f aca="false">IF(Tasks[[#This Row],[_LeafCritical]],Tasks[[#This Row],[_ShownFcstStart]]+Tasks[[#This Row],[_Row]]/100000,"")</f>
        <v/>
      </c>
      <c r="GI53" s="42" t="n">
        <f aca="false">Tasks[[#This Row],[_LeafWork]]*Tasks[[#This Row],[_LeafProgress]]</f>
        <v>0</v>
      </c>
      <c r="GJ53" s="89" t="str">
        <f aca="false">IF(AND(Tasks[[#This Row],[_IsLeaf]]=1,Tasks[[#This Row],[_LeafProgress]]&gt;=1),IF(N(Tasks[[#This Row],[Actual Finish]])&gt;0,Tasks[[#This Row],[Actual Finish]],Tasks[[#This Row],[_ShownFcstFinish]]),"")</f>
        <v/>
      </c>
      <c r="GK53" s="42" t="n">
        <f aca="false">IF(Tasks[[#This Row],[_IsLeaf]]=1,N(Tasks[[#This Row],[Story Points]]),0)</f>
        <v>0</v>
      </c>
      <c r="GL53" s="42" t="str">
        <f aca="false">""</f>
        <v/>
      </c>
      <c r="GM53" s="88" t="b">
        <f aca="false">IF(Tasks[[#This Row],[Task Name]]="",FALSE(),AND(Tasks[[#This Row],[_IsLeaf]]=1,N(Tasks[[#This Row],[_Days]])=0))</f>
        <v>0</v>
      </c>
      <c r="GN53" s="89" t="n">
        <f aca="false">IF(Tasks[[#This Row],[Task Name]]="",0,IF(AND(Tasks[[#This Row],[_IsLeaf]]=1,NOT(Tasks[[#This Row],[_IsMilestone]]),N(Tasks[[#This Row],[Progress]])&gt;0),Tasks[[#This Row],[Start]],0))</f>
        <v>0</v>
      </c>
      <c r="GO53" s="89" t="n">
        <f aca="false">IF(Tasks[[#This Row],[_DoneFrom]]=0,0,IF(Tasks[[#This Row],[Progress]]&gt;=1,Tasks[[#This Row],[Finish]],MAX(Tasks[[#This Row],[_DoneFrom]],Tasks[[#This Row],[Start]]+ROUND((Tasks[[#This Row],[Finish]]-Tasks[[#This Row],[Start]]+1)*Tasks[[#This Row],[Progress]],0)-1)))</f>
        <v>0</v>
      </c>
      <c r="GP53" s="89" t="n">
        <f aca="false">IF(Tasks[[#This Row],[Task Name]]="",0,IF(OR(NOT(Tasks[[#This Row],[_IsLeaf]]=1),Tasks[[#This Row],[_IsMilestone]],N(Tasks[[#This Row],[Progress]])&gt;=1),0,IF(Tasks[[#This Row],[_DoneTo]]&gt;0,Tasks[[#This Row],[_DoneTo]]+1,Tasks[[#This Row],[Start]])))</f>
        <v>0</v>
      </c>
      <c r="GQ53" s="89" t="n">
        <f aca="false">IF(Tasks[[#This Row],[_RemFrom]]=0,0,Tasks[[#This Row],[Finish]])</f>
        <v>0</v>
      </c>
      <c r="GR53" s="88" t="b">
        <f aca="false">IF(Tasks[[#This Row],[Task Name]]="",FALSE(),OR(NOT(BaselineSet),N(Tasks[[#This Row],[Baseline Start]])&gt;0))</f>
        <v>0</v>
      </c>
      <c r="GS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3" s="90" t="str">
        <f aca="false">IF(Tasks[[#This Row],[_IsLeaf]]=1,Tasks[[#This Row],[_Row]],"")</f>
        <v/>
      </c>
      <c r="GW53" s="90" t="str">
        <f aca="false">IFERROR(INDEX(Tasks[UID],SMALL(Tasks[_PickKey],Tasks[[#This Row],[_Row]]))&amp;" "&amp;INDEX(Tasks[Task Name],SMALL(Tasks[_PickKey],Tasks[[#This Row],[_Row]])),"")</f>
        <v/>
      </c>
      <c r="GX53" s="42" t="str">
        <f aca="false">IF(Tasks[[#This Row],[Task Name]]="","",IF(Tasks[[#This Row],[_IsSummary]],NETWORKDAYS.INTL(Tasks[[#This Row],[Start]],Tasks[[#This Row],[Finish]],WorkWeek,Holidays),N(Tasks[[#This Row],[_Days]])))</f>
        <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3"/>
      <c r="U54" s="23"/>
      <c r="V54" s="83"/>
      <c r="W54" s="23"/>
      <c r="X54" s="83"/>
      <c r="Y54" s="23"/>
      <c r="Z54" s="83"/>
      <c r="AA54" s="23"/>
      <c r="AB54" s="23"/>
      <c r="AC54" s="7"/>
      <c r="AD54" s="7"/>
      <c r="AE54" s="62" t="str">
        <f aca="false">IF(Tasks[[#This Row],[Task Name]]="","",IF(Tasks[[#This Row],[_IsSummary]],MIN(INDEX(Tasks[_ShownFcstStart],Tasks[[#This Row],[_Row]]+1):INDEX(Tasks[_ShownFcstStart],Tasks[[#This Row],[_Row]]+Tasks[[#This Row],[_Descendants]])),Tasks[[#This Row],[_ShownFcstStart]]))</f>
        <v/>
      </c>
      <c r="AF54" s="62"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4" s="7"/>
      <c r="AK54" s="22"/>
      <c r="AL54" s="23"/>
      <c r="AM54" s="7"/>
      <c r="AN54" s="46"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2" t="str">
        <f aca="false">IF(Tasks[[#This Row],[Task Name]]="","",IF(N(Tasks[[#This Row],[Baseline Start]])&gt;0,Tasks[[#This Row],[Baseline Start]],Tasks[[#This Row],[_CalcStart]]))</f>
        <v/>
      </c>
      <c r="AR54" s="62" t="str">
        <f aca="false">IF(Tasks[[#This Row],[Task Name]]="","",IF(N(Tasks[[#This Row],[Baseline Finish]])&gt;0,Tasks[[#This Row],[Baseline Finish]],Tasks[[#This Row],[_CalcFinish]]))</f>
        <v/>
      </c>
      <c r="AS54" s="46" t="str">
        <f aca="false">IF(Tasks[[#This Row],[Task Name]]="","",IF(Tasks[[#This Row],[Start]]&gt;=Tasks[[#This Row],[Planned Start]],NETWORKDAYS.INTL(Tasks[[#This Row],[Planned Start]],Tasks[[#This Row],[Start]],WorkWeek,Holidays)-1,1-NETWORKDAYS.INTL(Tasks[[#This Row],[Start]],Tasks[[#This Row],[Planned Start]],WorkWeek,Holidays)))</f>
        <v/>
      </c>
      <c r="AT54" s="62" t="str">
        <f aca="false">IF(Tasks[[#This Row],[Task Name]]="","",IF(Tasks[[#This Row],[_IsSummary]],MIN(INDEX(Tasks[_LeafLateStart],Tasks[[#This Row],[_Row]]+1):INDEX(Tasks[_LeafLateStart],Tasks[[#This Row],[_Row]]+Tasks[[#This Row],[_Descendants]])),Tasks[[#This Row],[_LeafLateStart]]))</f>
        <v/>
      </c>
      <c r="AU54" s="62" t="str">
        <f aca="false">IF(Tasks[[#This Row],[Task Name]]="","",IF(Tasks[[#This Row],[_IsSummary]],MAX(INDEX(Tasks[_LeafLateFinish],Tasks[[#This Row],[_Row]]+1):INDEX(Tasks[_LeafLateFinish],Tasks[[#This Row],[_Row]]+Tasks[[#This Row],[_Descendants]])),Tasks[[#This Row],[_LeafLateFinish]]))</f>
        <v/>
      </c>
      <c r="AV54" s="46"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4"/>
      <c r="BA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5"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6"/>
      <c r="BJ54" s="22"/>
      <c r="BK54" s="46" t="str">
        <f aca="false">IF(OR(Tasks[[#This Row],[Task Name]]="",Tasks[[#This Row],[Baseline Duration]]=""),"",Tasks[[#This Row],[_SpanDays]]-N(Tasks[[#This Row],[Baseline Duration]]))</f>
        <v/>
      </c>
      <c r="BL54" s="85" t="str">
        <f aca="false">IF(OR(Tasks[[#This Row],[Task Name]]="",Tasks[[#This Row],[Baseline Work]]=""),"",Tasks[[#This Row],[Work]]-N(Tasks[[#This Row],[Baseline Work]]))</f>
        <v/>
      </c>
      <c r="BM54" s="62" t="str">
        <f aca="false">IF(Tasks[[#This Row],[Task Name]]="","",IF(OR(TakeBaseline="Yes",N(Tasks[[#This Row],[Baseline Start]])=0),Tasks[[#This Row],[Start]],Tasks[[#This Row],[Baseline Start]]))</f>
        <v/>
      </c>
      <c r="BN54" s="62"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5" t="str">
        <f aca="false">IF(Tasks[[#This Row],[Task Name]]="","",IF(OR(TakeBaseline="Yes",N(Tasks[[#This Row],[Baseline Work]])=0),Tasks[[#This Row],[Work]],Tasks[[#This Row],[Baseline Work]]))</f>
        <v/>
      </c>
      <c r="BQ54" s="7"/>
      <c r="BR54" s="7"/>
      <c r="BS54" s="22"/>
      <c r="BT54" s="87"/>
      <c r="BU54" s="42" t="str">
        <f aca="false">IF(Tasks[[#This Row],[Task Name]]="","",MAX(1,N(Tasks[[#This Row],[Level]])))</f>
        <v/>
      </c>
      <c r="BV54" s="42" t="n">
        <f aca="false">ROW()-ROW(Tasks[[#Headers],[ID]])</f>
        <v>49</v>
      </c>
      <c r="BW54" s="42" t="n">
        <f aca="false">IF(OR(Tasks[[#This Row],[Task Name]]="",Tasks[[#This Row],[_Level]]&lt;=1),0,IFERROR(LOOKUP(2,1/(Tasks[[#Headers],[_Level]]:Tasks[[#This Row],[_Level]]=Tasks[[#This Row],[_Level]]-1),ROW(Tasks[[#Headers],[_Level]]:Tasks[[#This Row],[_Level]])),0))</f>
        <v>0</v>
      </c>
      <c r="BX54" s="42" t="n">
        <f aca="false">IFERROR(N(INDEX(Tasks[_Level],Tasks[[#This Row],[_Row]]+1)),0)</f>
        <v>0</v>
      </c>
      <c r="BY54" s="88" t="b">
        <f aca="false">AND(Tasks[[#This Row],[Task Name]]&lt;&gt;"",Tasks[[#This Row],[_NextLevel]]&gt;Tasks[[#This Row],[_Level]])</f>
        <v>0</v>
      </c>
      <c r="BZ54" s="42" t="n">
        <f aca="false">IF(Tasks[[#This Row],[_IsSummary]],COUNTIF(Tasks[WBS],Tasks[[#This Row],[WBS]]&amp;".*"),0)</f>
        <v>0</v>
      </c>
      <c r="CA54" s="42" t="n">
        <f aca="false">IF(AND(Tasks[[#This Row],[Task Name]]&lt;&gt;"",NOT(Tasks[[#This Row],[_IsSummary]])),1,0)</f>
        <v>0</v>
      </c>
      <c r="CB54" s="42" t="n">
        <f aca="false">IF(N(Tasks[[#This Row],[_Pred1UID]])=0,0,IFERROR(MATCH(Tasks[[#This Row],[_Pred1UID]],Tasks[UID],0),-1))</f>
        <v>0</v>
      </c>
      <c r="CC54" s="42" t="n">
        <f aca="false">IF(N(Tasks[[#This Row],[_Pred2UID]])=0,0,IFERROR(MATCH(Tasks[[#This Row],[_Pred2UID]],Tasks[UID],0),-1))</f>
        <v>0</v>
      </c>
      <c r="CD54" s="42" t="n">
        <f aca="false">IF(N(Tasks[[#This Row],[_Pred3UID]])=0,0,IFERROR(MATCH(Tasks[[#This Row],[_Pred3UID]],Tasks[UID],0),-1))</f>
        <v>0</v>
      </c>
      <c r="CE54" s="42" t="n">
        <f aca="false">IF(N(Tasks[[#This Row],[_Pred4UID]])=0,0,IFERROR(MATCH(Tasks[[#This Row],[_Pred4UID]],Tasks[UID],0),-1))</f>
        <v>0</v>
      </c>
      <c r="CF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4" s="89" t="n">
        <f aca="false">IF(OR(Tasks[[#This Row],[_ConstraintCode]]=2,Tasks[[#This Row],[_ConstraintCode]]=3,Tasks[[#This Row],[_ConstraintCode]]=4,Tasks[[#This Row],[_ConstraintCode]]=6),Tasks[[#This Row],[_ConstraintStart]],0)</f>
        <v>0</v>
      </c>
      <c r="CI54" s="89" t="n">
        <f aca="false">IF(OR(Tasks[[#This Row],[_ConstraintCode]]=2,Tasks[[#This Row],[_ConstraintCode]]=3,Tasks[[#This Row],[_ConstraintCode]]=5,Tasks[[#This Row],[_ConstraintCode]]=7),Tasks[[#This Row],[_ConstraintStart]],2958465)</f>
        <v>2958465</v>
      </c>
      <c r="CJ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4" s="89" t="str">
        <f aca="false">IF(NOT(Tasks[[#This Row],[_IsLeaf]]=1),"",IF(N(Tasks[[#This Row],[_Days]])&lt;=0,Tasks[[#This Row],[_LeafCalcStart]],WORKDAY.INTL(Tasks[[#This Row],[_LeafCalcStart]],Tasks[[#This Row],[_Days]]-1,WorkWeek,Holidays)))</f>
        <v/>
      </c>
      <c r="CL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4" s="42" t="str">
        <f aca="false">IF(Tasks[[#This Row],[_Predecessors]]="","",TRIM(MID(SUBSTITUTE(SUBSTITUTE(SUBSTITUTE(UPPER(Tasks[[#This Row],[_Predecessors]]),";",",")," ",""),",",REPT(" ",99)),1,99)))</f>
        <v/>
      </c>
      <c r="CO54" s="42" t="str">
        <f aca="false">IF(Tasks[[#This Row],[_Pred1Text]]="","",IFERROR(VALUE(LEFT(Tasks[[#This Row],[_Pred1Text]],MIN(FIND("F",Tasks[[#This Row],[_Pred1Text]]&amp;"F"),FIND("S",Tasks[[#This Row],[_Pred1Text]]&amp;"S"),FIND("+",Tasks[[#This Row],[_Pred1Text]]&amp;"+"),FIND("-",Tasks[[#This Row],[_Pred1Text]]&amp;"-"))-1)),""))</f>
        <v/>
      </c>
      <c r="CP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4" s="42" t="str">
        <f aca="false">IF(Tasks[[#This Row],[_Pred1Text]]="","",TRIM(MID(SUBSTITUTE(SUBSTITUTE(SUBSTITUTE(UPPER(Tasks[[#This Row],[_Predecessors]]),";",",")," ",""),",",REPT(" ",99)),100,99)))</f>
        <v/>
      </c>
      <c r="CS54" s="42" t="str">
        <f aca="false">IF(Tasks[[#This Row],[_Pred2Text]]="","",IFERROR(VALUE(LEFT(Tasks[[#This Row],[_Pred2Text]],MIN(FIND("F",Tasks[[#This Row],[_Pred2Text]]&amp;"F"),FIND("S",Tasks[[#This Row],[_Pred2Text]]&amp;"S"),FIND("+",Tasks[[#This Row],[_Pred2Text]]&amp;"+"),FIND("-",Tasks[[#This Row],[_Pred2Text]]&amp;"-"))-1)),""))</f>
        <v/>
      </c>
      <c r="CT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4" s="42" t="str">
        <f aca="false">IF(Tasks[[#This Row],[_Pred2Text]]="","",TRIM(MID(SUBSTITUTE(SUBSTITUTE(SUBSTITUTE(UPPER(Tasks[[#This Row],[_Predecessors]]),";",",")," ",""),",",REPT(" ",99)),199,99)))</f>
        <v/>
      </c>
      <c r="CW54" s="42" t="str">
        <f aca="false">IF(Tasks[[#This Row],[_Pred3Text]]="","",IFERROR(VALUE(LEFT(Tasks[[#This Row],[_Pred3Text]],MIN(FIND("F",Tasks[[#This Row],[_Pred3Text]]&amp;"F"),FIND("S",Tasks[[#This Row],[_Pred3Text]]&amp;"S"),FIND("+",Tasks[[#This Row],[_Pred3Text]]&amp;"+"),FIND("-",Tasks[[#This Row],[_Pred3Text]]&amp;"-"))-1)),""))</f>
        <v/>
      </c>
      <c r="CX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4" s="42" t="str">
        <f aca="false">IF(Tasks[[#This Row],[_Pred3Text]]="","",TRIM(MID(SUBSTITUTE(SUBSTITUTE(SUBSTITUTE(UPPER(Tasks[[#This Row],[_Predecessors]]),";",",")," ",""),",",REPT(" ",99)),298,99)))</f>
        <v/>
      </c>
      <c r="DA54" s="42" t="str">
        <f aca="false">IF(Tasks[[#This Row],[_Pred4Text]]="","",IFERROR(VALUE(LEFT(Tasks[[#This Row],[_Pred4Text]],MIN(FIND("F",Tasks[[#This Row],[_Pred4Text]]&amp;"F"),FIND("S",Tasks[[#This Row],[_Pred4Text]]&amp;"S"),FIND("+",Tasks[[#This Row],[_Pred4Text]]&amp;"+"),FIND("-",Tasks[[#This Row],[_Pred4Text]]&amp;"-"))-1)),""))</f>
        <v/>
      </c>
      <c r="DB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4" s="42" t="str">
        <f aca="false">IF(OR(Tasks[[#This Row],[Task Name]]="",Tasks[[#This Row],[_Resources]]=""),"",TRIM(MID(SUBSTITUTE(Tasks[[#This Row],[_Resources]],",",REPT(" ",99)),1,99)))</f>
        <v/>
      </c>
      <c r="DE54" s="42" t="str">
        <f aca="false">IF(Tasks[[#This Row],[_Res1Text]]="","",TRIM(MID(SUBSTITUTE(Tasks[[#This Row],[_Resources]],",",REPT(" ",99)),100,99)))</f>
        <v/>
      </c>
      <c r="DF54" s="42" t="str">
        <f aca="false">IF(Tasks[[#This Row],[_Res2Text]]="","",TRIM(MID(SUBSTITUTE(Tasks[[#This Row],[_Resources]],",",REPT(" ",99)),199,99)))</f>
        <v/>
      </c>
      <c r="DG54" s="42" t="str">
        <f aca="false">IF(Tasks[[#This Row],[_Res3Text]]="","",TRIM(MID(SUBSTITUTE(Tasks[[#This Row],[_Resources]],",",REPT(" ",99)),298,99)))</f>
        <v/>
      </c>
      <c r="DH54" s="42" t="n">
        <f aca="false">IF(Tasks[[#This Row],[_Res1Text]]="",0,IFERROR(MATCH(TRIM(LEFT(Tasks[[#This Row],[_Res1Text]],FIND("[",Tasks[[#This Row],[_Res1Text]]&amp;"[")-1)),res_Name,0),IFERROR(MATCH(TRIM(LEFT(Tasks[[#This Row],[_Res1Text]],FIND("[",Tasks[[#This Row],[_Res1Text]]&amp;"[")-1)),res_Initials,0),0)))</f>
        <v>0</v>
      </c>
      <c r="DI54" s="42" t="n">
        <f aca="false">IF(Tasks[[#This Row],[_Res2Text]]="",0,IFERROR(MATCH(TRIM(LEFT(Tasks[[#This Row],[_Res2Text]],FIND("[",Tasks[[#This Row],[_Res2Text]]&amp;"[")-1)),res_Name,0),IFERROR(MATCH(TRIM(LEFT(Tasks[[#This Row],[_Res2Text]],FIND("[",Tasks[[#This Row],[_Res2Text]]&amp;"[")-1)),res_Initials,0),0)))</f>
        <v>0</v>
      </c>
      <c r="DJ54" s="42" t="n">
        <f aca="false">IF(Tasks[[#This Row],[_Res3Text]]="",0,IFERROR(MATCH(TRIM(LEFT(Tasks[[#This Row],[_Res3Text]],FIND("[",Tasks[[#This Row],[_Res3Text]]&amp;"[")-1)),res_Name,0),IFERROR(MATCH(TRIM(LEFT(Tasks[[#This Row],[_Res3Text]],FIND("[",Tasks[[#This Row],[_Res3Text]]&amp;"[")-1)),res_Initials,0),0)))</f>
        <v>0</v>
      </c>
      <c r="DK54" s="42" t="n">
        <f aca="false">IF(Tasks[[#This Row],[_Res4Text]]="",0,IFERROR(MATCH(TRIM(LEFT(Tasks[[#This Row],[_Res4Text]],FIND("[",Tasks[[#This Row],[_Res4Text]]&amp;"[")-1)),res_Name,0),IFERROR(MATCH(TRIM(LEFT(Tasks[[#This Row],[_Res4Text]],FIND("[",Tasks[[#This Row],[_Res4Text]]&amp;"[")-1)),res_Initials,0),0)))</f>
        <v>0</v>
      </c>
      <c r="DL54" s="42" t="str">
        <f aca="false">IF(Tasks[[#This Row],[_Res1Text]]="","",IF(Tasks[[#This Row],[_Res1Row]]&gt;0,INDEX(res_Name,Tasks[[#This Row],[_Res1Row]]),TRIM(LEFT(Tasks[[#This Row],[_Res1Text]],FIND("[",Tasks[[#This Row],[_Res1Text]]&amp;"[")-1))))</f>
        <v/>
      </c>
      <c r="DM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4" s="42" t="n">
        <f aca="false">IF(NOT(Tasks[[#This Row],[_IsLeaf]]=1),0,(Tasks[[#This Row],[_Resource1]]&lt;&gt;"")+(Tasks[[#This Row],[_Res2]]&lt;&gt;"")+(Tasks[[#This Row],[_Res3]]&lt;&gt;"")+(Tasks[[#This Row],[_Res4]]&lt;&gt;""))</f>
        <v>0</v>
      </c>
      <c r="DO54" s="42" t="str">
        <f aca="false">IF(Tasks[[#This Row],[_Res2Text]]="","",IF(Tasks[[#This Row],[_Res2Row]]&gt;0,INDEX(res_Name,Tasks[[#This Row],[_Res2Row]]),TRIM(LEFT(Tasks[[#This Row],[_Res2Text]],FIND("[",Tasks[[#This Row],[_Res2Text]]&amp;"[")-1))))</f>
        <v/>
      </c>
      <c r="DP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4" s="42" t="n">
        <f aca="false">IF(OR(NOT(Tasks[[#This Row],[_IsLeaf]]=1),Tasks[[#This Row],[_Res2Row]]=0),0,N(Tasks[[#This Row],[_Days]])*HoursPerDay*IF(Tasks[[#This Row],[_Res2Units]]="",DefaultUnits,Tasks[[#This Row],[_Res2Units]]))</f>
        <v>0</v>
      </c>
      <c r="DR54" s="42" t="n">
        <f aca="false">IF(AND(AND(Tasks[[#This Row],[_IsLeaf]]=1,Tasks[[#This Row],[_LeafTotalWork]]&gt;0),Tasks[[#This Row],[_Res2Work]]&gt;0),Tasks[[#This Row],[_Res2Work]]/(Tasks[[#This Row],[_FinishWorkday]]-Tasks[[#This Row],[_StartWorkday]]+1),0)</f>
        <v>0</v>
      </c>
      <c r="DS54" s="42" t="n">
        <f aca="false">Tasks[[#This Row],[_Res2WorkPerWD]]*MAX(0,Tasks[[#This Row],[_StartWorkday]]-1)</f>
        <v>0</v>
      </c>
      <c r="DT54" s="42" t="n">
        <f aca="false">Tasks[[#This Row],[_Res2Work]]*Tasks[[#This Row],[_LeafProgress]]</f>
        <v>0</v>
      </c>
      <c r="DU54" s="42" t="str">
        <f aca="false">IF(Tasks[[#This Row],[_Res3Text]]="","",IF(Tasks[[#This Row],[_Res3Row]]&gt;0,INDEX(res_Name,Tasks[[#This Row],[_Res3Row]]),TRIM(LEFT(Tasks[[#This Row],[_Res3Text]],FIND("[",Tasks[[#This Row],[_Res3Text]]&amp;"[")-1))))</f>
        <v/>
      </c>
      <c r="DV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4" s="42" t="n">
        <f aca="false">IF(OR(NOT(Tasks[[#This Row],[_IsLeaf]]=1),Tasks[[#This Row],[_Res3Row]]=0),0,N(Tasks[[#This Row],[_Days]])*HoursPerDay*IF(Tasks[[#This Row],[_Res3Units]]="",DefaultUnits,Tasks[[#This Row],[_Res3Units]]))</f>
        <v>0</v>
      </c>
      <c r="DX54" s="42" t="n">
        <f aca="false">IF(AND(AND(Tasks[[#This Row],[_IsLeaf]]=1,Tasks[[#This Row],[_LeafTotalWork]]&gt;0),Tasks[[#This Row],[_Res3Work]]&gt;0),Tasks[[#This Row],[_Res3Work]]/(Tasks[[#This Row],[_FinishWorkday]]-Tasks[[#This Row],[_StartWorkday]]+1),0)</f>
        <v>0</v>
      </c>
      <c r="DY54" s="42" t="n">
        <f aca="false">Tasks[[#This Row],[_Res3WorkPerWD]]*MAX(0,Tasks[[#This Row],[_StartWorkday]]-1)</f>
        <v>0</v>
      </c>
      <c r="DZ54" s="42" t="n">
        <f aca="false">Tasks[[#This Row],[_Res3Work]]*Tasks[[#This Row],[_LeafProgress]]</f>
        <v>0</v>
      </c>
      <c r="EA54" s="42" t="str">
        <f aca="false">IF(Tasks[[#This Row],[_Res4Text]]="","",IF(Tasks[[#This Row],[_Res4Row]]&gt;0,INDEX(res_Name,Tasks[[#This Row],[_Res4Row]]),TRIM(LEFT(Tasks[[#This Row],[_Res4Text]],FIND("[",Tasks[[#This Row],[_Res4Text]]&amp;"[")-1))))</f>
        <v/>
      </c>
      <c r="EB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4" s="42" t="n">
        <f aca="false">IF(OR(NOT(Tasks[[#This Row],[_IsLeaf]]=1),Tasks[[#This Row],[_Res4Row]]=0),0,N(Tasks[[#This Row],[_Days]])*HoursPerDay*IF(Tasks[[#This Row],[_Res4Units]]="",DefaultUnits,Tasks[[#This Row],[_Res4Units]]))</f>
        <v>0</v>
      </c>
      <c r="ED54" s="42" t="n">
        <f aca="false">IF(AND(AND(Tasks[[#This Row],[_IsLeaf]]=1,Tasks[[#This Row],[_LeafTotalWork]]&gt;0),Tasks[[#This Row],[_Res4Work]]&gt;0),Tasks[[#This Row],[_Res4Work]]/(Tasks[[#This Row],[_FinishWorkday]]-Tasks[[#This Row],[_StartWorkday]]+1),0)</f>
        <v>0</v>
      </c>
      <c r="EE54" s="42" t="n">
        <f aca="false">Tasks[[#This Row],[_Res4WorkPerWD]]*MAX(0,Tasks[[#This Row],[_StartWorkday]]-1)</f>
        <v>0</v>
      </c>
      <c r="EF54" s="42" t="n">
        <f aca="false">Tasks[[#This Row],[_Res4Work]]*Tasks[[#This Row],[_LeafProgress]]</f>
        <v>0</v>
      </c>
      <c r="EG54" s="42" t="n">
        <f aca="false">IF(ISNUMBER(Tasks[[#This Row],[% Complete]]),Tasks[[#This Row],[% Complete]],IF(Tasks[[#This Row],[Stage]]="",0,IFERROR(INDEX(stg_Pct,MATCH(Tasks[[#This Row],[Stage]],stg_Name,0)),0)))</f>
        <v>0</v>
      </c>
      <c r="EH54" s="42" t="n">
        <f aca="false">IF(NOT(Tasks[[#This Row],[_IsLeaf]]=1),0,IF(N(Tasks[[#This Row],[Actual Finish]])&gt;0,1,MIN(1,Tasks[[#This Row],[_Pct]])))</f>
        <v>0</v>
      </c>
      <c r="EI54" s="42" t="n">
        <f aca="false">IF(OR(NOT(Tasks[[#This Row],[_IsLeaf]]=1),Tasks[[#This Row],[_Res1Row]]=0),0,N(Tasks[[#This Row],[_Days]])*HoursPerDay*IF(Tasks[[#This Row],[_Units1]]="",DefaultUnits,Tasks[[#This Row],[_Units1]]))</f>
        <v>0</v>
      </c>
      <c r="EJ54" s="42" t="n">
        <f aca="false">Tasks[[#This Row],[_LeafWork]]+Tasks[[#This Row],[_Res2Work]]+Tasks[[#This Row],[_Res3Work]]+Tasks[[#This Row],[_Res4Work]]</f>
        <v>0</v>
      </c>
      <c r="EK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4" s="42" t="n">
        <f aca="false">IF(NOT(Tasks[[#This Row],[_IsLeaf]]=1),0,MAX(_xlfn.MAXIFS(Tasks[_Row],Tasks[_Pred1UID],Tasks[[#This Row],[UID]]),_xlfn.MAXIFS(Tasks[_Row],Tasks[_Pred2UID],Tasks[[#This Row],[UID]]),_xlfn.MAXIFS(Tasks[_Row],Tasks[_Pred3UID],Tasks[[#This Row],[UID]]),_xlfn.MAXIFS(Tasks[_Row],Tasks[_Pred4UID],Tasks[[#This Row],[UID]])))</f>
        <v>0</v>
      </c>
      <c r="ET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4" s="89" t="str">
        <f aca="false">IF(NOT(Tasks[[#This Row],[_IsLeaf]]=1),"",IF(N(Tasks[[#This Row],[_Days]])&lt;=0,Tasks[[#This Row],[_LeafLateFinish]],WORKDAY.INTL(Tasks[[#This Row],[_LeafLateFinish]],-(Tasks[[#This Row],[_Days]]-1),WorkWeek,Holidays)))</f>
        <v/>
      </c>
      <c r="EW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4" s="88" t="b">
        <f aca="false">AND(Tasks[[#This Row],[_IsLeaf]]=1,Tasks[[#This Row],[_LeafProgress]]&lt;1,N(Tasks[[#This Row],[_LeafTotalSlack]])&lt;=CriticalSlackDays)</f>
        <v>0</v>
      </c>
      <c r="EY54" s="42" t="n">
        <f aca="false">IF(AND(Tasks[[#This Row],[_IsLeaf]]=1,Tasks[[#This Row],[_ConstraintCode]]=1,Tasks[[#This Row],[Mode]]&lt;&gt;"Manual",N(Tasks[[#This Row],[Actual Start]])=0),MAX(0,N(Tasks[[#This Row],[Free Slack]])),0)</f>
        <v>0</v>
      </c>
      <c r="EZ54" s="89" t="str">
        <f aca="false">IF(NOT(Tasks[[#This Row],[_IsLeaf]]=1),"",IF(Tasks[[#This Row],[_AlapShift]]=0,Tasks[[#This Row],[_LeafCalcStart]],WORKDAY.INTL(Tasks[[#This Row],[_LeafCalcStart]],Tasks[[#This Row],[_AlapShift]],WorkWeek,Holidays)))</f>
        <v/>
      </c>
      <c r="FA54" s="89" t="str">
        <f aca="false">IF(NOT(Tasks[[#This Row],[_IsLeaf]]=1),"",IF(Tasks[[#This Row],[_AlapShift]]=0,Tasks[[#This Row],[_LeafCalcFinish]],WORKDAY.INTL(Tasks[[#This Row],[_LeafCalcFinish]],Tasks[[#This Row],[_AlapShift]],WorkWeek,Holidays)))</f>
        <v/>
      </c>
      <c r="FB54" s="89" t="str">
        <f aca="false">IF(NOT(Tasks[[#This Row],[_IsLeaf]]=1),"",IF(Tasks[[#This Row],[_AlapShift]]=0,Tasks[[#This Row],[_LeafFcstStart]],WORKDAY.INTL(Tasks[[#This Row],[_LeafFcstStart]],Tasks[[#This Row],[_AlapShift]],WorkWeek,Holidays)))</f>
        <v/>
      </c>
      <c r="FC54" s="89" t="str">
        <f aca="false">IF(NOT(Tasks[[#This Row],[_IsLeaf]]=1),"",IF(Tasks[[#This Row],[_AlapShift]]=0,Tasks[[#This Row],[_LeafFcstFinish]],WORKDAY.INTL(Tasks[[#This Row],[_LeafFcstFinish]],Tasks[[#This Row],[_AlapShift]],WorkWeek,Holidays)))</f>
        <v/>
      </c>
      <c r="FD54" s="89" t="str">
        <f aca="false">IF(Tasks[[#This Row],[Task Name]]="","",IF(Tasks[[#This Row],[_IsSummary]],MIN(INDEX(Tasks[_ShownCalcStart],Tasks[[#This Row],[_Row]]+1):INDEX(Tasks[_ShownCalcStart],Tasks[[#This Row],[_Row]]+Tasks[[#This Row],[_Descendants]])),Tasks[[#This Row],[_ShownCalcStart]]))</f>
        <v/>
      </c>
      <c r="FE54" s="89" t="str">
        <f aca="false">IF(Tasks[[#This Row],[Task Name]]="","",IF(Tasks[[#This Row],[_IsSummary]],MAX(INDEX(Tasks[_ShownCalcFinish],Tasks[[#This Row],[_Row]]+1):INDEX(Tasks[_ShownCalcFinish],Tasks[[#This Row],[_Row]]+Tasks[[#This Row],[_Descendants]])),Tasks[[#This Row],[_ShownCalcFinish]]))</f>
        <v/>
      </c>
      <c r="FF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4" s="42" t="n">
        <f aca="false">IF(AND(Tasks[[#This Row],[_IsLeaf]]=1,Tasks[[#This Row],[_LeafTotalWork]]&gt;0),NETWORKDAYS.INTL(ProjectStart,Tasks[[#This Row],[_ShownFcstStart]],WorkWeek,Holidays),0)</f>
        <v>0</v>
      </c>
      <c r="FS54" s="42" t="n">
        <f aca="false">IF(AND(Tasks[[#This Row],[_IsLeaf]]=1,Tasks[[#This Row],[_LeafTotalWork]]&gt;0),MAX(Tasks[[#This Row],[_StartWorkday]],NETWORKDAYS.INTL(ProjectStart,Tasks[[#This Row],[_ShownFcstFinish]],WorkWeek,Holidays)),0)</f>
        <v>0</v>
      </c>
      <c r="FT54" s="42" t="n">
        <f aca="false">IF(AND(Tasks[[#This Row],[_IsLeaf]]=1,Tasks[[#This Row],[_LeafTotalWork]]&gt;0),Tasks[[#This Row],[_LeafWork]]/(Tasks[[#This Row],[_FinishWorkday]]-Tasks[[#This Row],[_StartWorkday]]+1),0)</f>
        <v>0</v>
      </c>
      <c r="FU54" s="42" t="n">
        <f aca="false">Tasks[[#This Row],[_WorkPerWorkday]]*(Tasks[[#This Row],[_StartWorkday]]-1)</f>
        <v>-0</v>
      </c>
      <c r="FV54" s="42" t="n">
        <f aca="false">IF(Tasks[[#This Row],[_IsLeaf]]=1,MAX(N(Tasks[[#This Row],[_Days]]),0.1),0)</f>
        <v>0</v>
      </c>
      <c r="FW54" s="42" t="n">
        <f aca="false">Tasks[[#This Row],[_WeightDur]]*Tasks[[#This Row],[_LeafProgress]]</f>
        <v>0</v>
      </c>
      <c r="FX54" s="42" t="n">
        <f aca="false">Tasks[[#This Row],[_WeightDur]]*Tasks[[#This Row],[_PlannedPct]]</f>
        <v>0</v>
      </c>
      <c r="FY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4" s="42" t="str">
        <f aca="false">IF(AND(Tasks[[#This Row],[_IsLeaf]]=1,N(Tasks[[#This Row],[_Days]])=0,Tasks[[#This Row],[_LeafProgress]]&lt;1),Tasks[[#This Row],[_ShownFcstFinish]]+Tasks[[#This Row],[_Row]]/100000,"")</f>
        <v/>
      </c>
      <c r="GA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4" s="42" t="str">
        <f aca="false">IF(Tasks[[#This Row],[Task Name]]="","",LEFT(Tasks[[#This Row],[WBS]],FIND(".",Tasks[[#This Row],[WBS]]&amp;".")-1))</f>
        <v/>
      </c>
      <c r="GC54" s="42" t="str">
        <f aca="false">IF(AND(Tasks[[#This Row],[Task Name]]&lt;&gt;"",Tasks[[#This Row],[_Level]]=1),Tasks[[#This Row],[_Row]],"")</f>
        <v/>
      </c>
      <c r="GD54" s="42" t="str">
        <f aca="false">IF(AND(Tasks[[#This Row],[_IsLeaf]]=1,N(Tasks[[#This Row],[_Days]])=0),Tasks[[#This Row],[Planned Finish]]+Tasks[[#This Row],[_Row]]/100000,"")</f>
        <v/>
      </c>
      <c r="GE54" s="42" t="str">
        <f aca="false">IF(AND(Tasks[[#This Row],[_IsLeaf]]=1,Tasks[[#This Row],[_LeafProgress]]&lt;1,OR(N(Tasks[[#This Row],[Finish Var]])&gt;0,Tasks[[#This Row],[Status]]="Late Start")),MAX(0,Tasks[[#This Row],[Finish Var]])+1-Tasks[[#This Row],[_Row]]/1000000,"")</f>
        <v/>
      </c>
      <c r="GF54" s="42" t="str">
        <f aca="false">IF(AND(Tasks[[#This Row],[_IsLeaf]]=1,N(Tasks[[#This Row],[Actual Start]])=0,Tasks[[#This Row],[_ShownFcstStart]]&gt;=StatusDate,Tasks[[#This Row],[_ShownFcstStart]]&lt;=LookaheadEnd),Tasks[[#This Row],[_ShownFcstStart]]+Tasks[[#This Row],[_Row]]/100000,"")</f>
        <v/>
      </c>
      <c r="GG54" s="42" t="str">
        <f aca="false">IF(AND(Tasks[[#This Row],[_IsLeaf]]=1,Tasks[[#This Row],[_LeafProgress]]&lt;1,Tasks[[#This Row],[_ShownFcstFinish]]&gt;=StatusDate,Tasks[[#This Row],[_ShownFcstFinish]]&lt;=LookaheadEnd),Tasks[[#This Row],[_ShownFcstFinish]]+Tasks[[#This Row],[_Row]]/100000,"")</f>
        <v/>
      </c>
      <c r="GH54" s="42" t="str">
        <f aca="false">IF(Tasks[[#This Row],[_LeafCritical]],Tasks[[#This Row],[_ShownFcstStart]]+Tasks[[#This Row],[_Row]]/100000,"")</f>
        <v/>
      </c>
      <c r="GI54" s="42" t="n">
        <f aca="false">Tasks[[#This Row],[_LeafWork]]*Tasks[[#This Row],[_LeafProgress]]</f>
        <v>0</v>
      </c>
      <c r="GJ54" s="89" t="str">
        <f aca="false">IF(AND(Tasks[[#This Row],[_IsLeaf]]=1,Tasks[[#This Row],[_LeafProgress]]&gt;=1),IF(N(Tasks[[#This Row],[Actual Finish]])&gt;0,Tasks[[#This Row],[Actual Finish]],Tasks[[#This Row],[_ShownFcstFinish]]),"")</f>
        <v/>
      </c>
      <c r="GK54" s="42" t="n">
        <f aca="false">IF(Tasks[[#This Row],[_IsLeaf]]=1,N(Tasks[[#This Row],[Story Points]]),0)</f>
        <v>0</v>
      </c>
      <c r="GL54" s="42" t="str">
        <f aca="false">""</f>
        <v/>
      </c>
      <c r="GM54" s="88" t="b">
        <f aca="false">IF(Tasks[[#This Row],[Task Name]]="",FALSE(),AND(Tasks[[#This Row],[_IsLeaf]]=1,N(Tasks[[#This Row],[_Days]])=0))</f>
        <v>0</v>
      </c>
      <c r="GN54" s="89" t="n">
        <f aca="false">IF(Tasks[[#This Row],[Task Name]]="",0,IF(AND(Tasks[[#This Row],[_IsLeaf]]=1,NOT(Tasks[[#This Row],[_IsMilestone]]),N(Tasks[[#This Row],[Progress]])&gt;0),Tasks[[#This Row],[Start]],0))</f>
        <v>0</v>
      </c>
      <c r="GO54" s="89" t="n">
        <f aca="false">IF(Tasks[[#This Row],[_DoneFrom]]=0,0,IF(Tasks[[#This Row],[Progress]]&gt;=1,Tasks[[#This Row],[Finish]],MAX(Tasks[[#This Row],[_DoneFrom]],Tasks[[#This Row],[Start]]+ROUND((Tasks[[#This Row],[Finish]]-Tasks[[#This Row],[Start]]+1)*Tasks[[#This Row],[Progress]],0)-1)))</f>
        <v>0</v>
      </c>
      <c r="GP54" s="89" t="n">
        <f aca="false">IF(Tasks[[#This Row],[Task Name]]="",0,IF(OR(NOT(Tasks[[#This Row],[_IsLeaf]]=1),Tasks[[#This Row],[_IsMilestone]],N(Tasks[[#This Row],[Progress]])&gt;=1),0,IF(Tasks[[#This Row],[_DoneTo]]&gt;0,Tasks[[#This Row],[_DoneTo]]+1,Tasks[[#This Row],[Start]])))</f>
        <v>0</v>
      </c>
      <c r="GQ54" s="89" t="n">
        <f aca="false">IF(Tasks[[#This Row],[_RemFrom]]=0,0,Tasks[[#This Row],[Finish]])</f>
        <v>0</v>
      </c>
      <c r="GR54" s="88" t="b">
        <f aca="false">IF(Tasks[[#This Row],[Task Name]]="",FALSE(),OR(NOT(BaselineSet),N(Tasks[[#This Row],[Baseline Start]])&gt;0))</f>
        <v>0</v>
      </c>
      <c r="GS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4" s="90" t="str">
        <f aca="false">IF(Tasks[[#This Row],[_IsLeaf]]=1,Tasks[[#This Row],[_Row]],"")</f>
        <v/>
      </c>
      <c r="GW54" s="90" t="str">
        <f aca="false">IFERROR(INDEX(Tasks[UID],SMALL(Tasks[_PickKey],Tasks[[#This Row],[_Row]]))&amp;" "&amp;INDEX(Tasks[Task Name],SMALL(Tasks[_PickKey],Tasks[[#This Row],[_Row]])),"")</f>
        <v/>
      </c>
      <c r="GX54" s="42" t="str">
        <f aca="false">IF(Tasks[[#This Row],[Task Name]]="","",IF(Tasks[[#This Row],[_IsSummary]],NETWORKDAYS.INTL(Tasks[[#This Row],[Start]],Tasks[[#This Row],[Finish]],WorkWeek,Holidays),N(Tasks[[#This Row],[_Days]])))</f>
        <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3"/>
      <c r="U55" s="23"/>
      <c r="V55" s="83"/>
      <c r="W55" s="23"/>
      <c r="X55" s="83"/>
      <c r="Y55" s="23"/>
      <c r="Z55" s="83"/>
      <c r="AA55" s="23"/>
      <c r="AB55" s="23"/>
      <c r="AC55" s="7"/>
      <c r="AD55" s="7"/>
      <c r="AE55" s="62" t="str">
        <f aca="false">IF(Tasks[[#This Row],[Task Name]]="","",IF(Tasks[[#This Row],[_IsSummary]],MIN(INDEX(Tasks[_ShownFcstStart],Tasks[[#This Row],[_Row]]+1):INDEX(Tasks[_ShownFcstStart],Tasks[[#This Row],[_Row]]+Tasks[[#This Row],[_Descendants]])),Tasks[[#This Row],[_ShownFcstStart]]))</f>
        <v/>
      </c>
      <c r="AF55" s="62"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5" s="7"/>
      <c r="AK55" s="22"/>
      <c r="AL55" s="23"/>
      <c r="AM55" s="7"/>
      <c r="AN55" s="46"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2" t="str">
        <f aca="false">IF(Tasks[[#This Row],[Task Name]]="","",IF(N(Tasks[[#This Row],[Baseline Start]])&gt;0,Tasks[[#This Row],[Baseline Start]],Tasks[[#This Row],[_CalcStart]]))</f>
        <v/>
      </c>
      <c r="AR55" s="62" t="str">
        <f aca="false">IF(Tasks[[#This Row],[Task Name]]="","",IF(N(Tasks[[#This Row],[Baseline Finish]])&gt;0,Tasks[[#This Row],[Baseline Finish]],Tasks[[#This Row],[_CalcFinish]]))</f>
        <v/>
      </c>
      <c r="AS55" s="46" t="str">
        <f aca="false">IF(Tasks[[#This Row],[Task Name]]="","",IF(Tasks[[#This Row],[Start]]&gt;=Tasks[[#This Row],[Planned Start]],NETWORKDAYS.INTL(Tasks[[#This Row],[Planned Start]],Tasks[[#This Row],[Start]],WorkWeek,Holidays)-1,1-NETWORKDAYS.INTL(Tasks[[#This Row],[Start]],Tasks[[#This Row],[Planned Start]],WorkWeek,Holidays)))</f>
        <v/>
      </c>
      <c r="AT55" s="62" t="str">
        <f aca="false">IF(Tasks[[#This Row],[Task Name]]="","",IF(Tasks[[#This Row],[_IsSummary]],MIN(INDEX(Tasks[_LeafLateStart],Tasks[[#This Row],[_Row]]+1):INDEX(Tasks[_LeafLateStart],Tasks[[#This Row],[_Row]]+Tasks[[#This Row],[_Descendants]])),Tasks[[#This Row],[_LeafLateStart]]))</f>
        <v/>
      </c>
      <c r="AU55" s="62" t="str">
        <f aca="false">IF(Tasks[[#This Row],[Task Name]]="","",IF(Tasks[[#This Row],[_IsSummary]],MAX(INDEX(Tasks[_LeafLateFinish],Tasks[[#This Row],[_Row]]+1):INDEX(Tasks[_LeafLateFinish],Tasks[[#This Row],[_Row]]+Tasks[[#This Row],[_Descendants]])),Tasks[[#This Row],[_LeafLateFinish]]))</f>
        <v/>
      </c>
      <c r="AV55" s="46"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4"/>
      <c r="BA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5"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6"/>
      <c r="BJ55" s="22"/>
      <c r="BK55" s="46" t="str">
        <f aca="false">IF(OR(Tasks[[#This Row],[Task Name]]="",Tasks[[#This Row],[Baseline Duration]]=""),"",Tasks[[#This Row],[_SpanDays]]-N(Tasks[[#This Row],[Baseline Duration]]))</f>
        <v/>
      </c>
      <c r="BL55" s="85" t="str">
        <f aca="false">IF(OR(Tasks[[#This Row],[Task Name]]="",Tasks[[#This Row],[Baseline Work]]=""),"",Tasks[[#This Row],[Work]]-N(Tasks[[#This Row],[Baseline Work]]))</f>
        <v/>
      </c>
      <c r="BM55" s="62" t="str">
        <f aca="false">IF(Tasks[[#This Row],[Task Name]]="","",IF(OR(TakeBaseline="Yes",N(Tasks[[#This Row],[Baseline Start]])=0),Tasks[[#This Row],[Start]],Tasks[[#This Row],[Baseline Start]]))</f>
        <v/>
      </c>
      <c r="BN55" s="62"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5" t="str">
        <f aca="false">IF(Tasks[[#This Row],[Task Name]]="","",IF(OR(TakeBaseline="Yes",N(Tasks[[#This Row],[Baseline Work]])=0),Tasks[[#This Row],[Work]],Tasks[[#This Row],[Baseline Work]]))</f>
        <v/>
      </c>
      <c r="BQ55" s="7"/>
      <c r="BR55" s="7"/>
      <c r="BS55" s="22"/>
      <c r="BT55" s="87"/>
      <c r="BU55" s="42" t="str">
        <f aca="false">IF(Tasks[[#This Row],[Task Name]]="","",MAX(1,N(Tasks[[#This Row],[Level]])))</f>
        <v/>
      </c>
      <c r="BV55" s="42" t="n">
        <f aca="false">ROW()-ROW(Tasks[[#Headers],[ID]])</f>
        <v>50</v>
      </c>
      <c r="BW55" s="42" t="n">
        <f aca="false">IF(OR(Tasks[[#This Row],[Task Name]]="",Tasks[[#This Row],[_Level]]&lt;=1),0,IFERROR(LOOKUP(2,1/(Tasks[[#Headers],[_Level]]:Tasks[[#This Row],[_Level]]=Tasks[[#This Row],[_Level]]-1),ROW(Tasks[[#Headers],[_Level]]:Tasks[[#This Row],[_Level]])),0))</f>
        <v>0</v>
      </c>
      <c r="BX55" s="42" t="n">
        <f aca="false">IFERROR(N(INDEX(Tasks[_Level],Tasks[[#This Row],[_Row]]+1)),0)</f>
        <v>0</v>
      </c>
      <c r="BY55" s="88" t="b">
        <f aca="false">AND(Tasks[[#This Row],[Task Name]]&lt;&gt;"",Tasks[[#This Row],[_NextLevel]]&gt;Tasks[[#This Row],[_Level]])</f>
        <v>0</v>
      </c>
      <c r="BZ55" s="42" t="n">
        <f aca="false">IF(Tasks[[#This Row],[_IsSummary]],COUNTIF(Tasks[WBS],Tasks[[#This Row],[WBS]]&amp;".*"),0)</f>
        <v>0</v>
      </c>
      <c r="CA55" s="42" t="n">
        <f aca="false">IF(AND(Tasks[[#This Row],[Task Name]]&lt;&gt;"",NOT(Tasks[[#This Row],[_IsSummary]])),1,0)</f>
        <v>0</v>
      </c>
      <c r="CB55" s="42" t="n">
        <f aca="false">IF(N(Tasks[[#This Row],[_Pred1UID]])=0,0,IFERROR(MATCH(Tasks[[#This Row],[_Pred1UID]],Tasks[UID],0),-1))</f>
        <v>0</v>
      </c>
      <c r="CC55" s="42" t="n">
        <f aca="false">IF(N(Tasks[[#This Row],[_Pred2UID]])=0,0,IFERROR(MATCH(Tasks[[#This Row],[_Pred2UID]],Tasks[UID],0),-1))</f>
        <v>0</v>
      </c>
      <c r="CD55" s="42" t="n">
        <f aca="false">IF(N(Tasks[[#This Row],[_Pred3UID]])=0,0,IFERROR(MATCH(Tasks[[#This Row],[_Pred3UID]],Tasks[UID],0),-1))</f>
        <v>0</v>
      </c>
      <c r="CE55" s="42" t="n">
        <f aca="false">IF(N(Tasks[[#This Row],[_Pred4UID]])=0,0,IFERROR(MATCH(Tasks[[#This Row],[_Pred4UID]],Tasks[UID],0),-1))</f>
        <v>0</v>
      </c>
      <c r="CF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5" s="89" t="n">
        <f aca="false">IF(OR(Tasks[[#This Row],[_ConstraintCode]]=2,Tasks[[#This Row],[_ConstraintCode]]=3,Tasks[[#This Row],[_ConstraintCode]]=4,Tasks[[#This Row],[_ConstraintCode]]=6),Tasks[[#This Row],[_ConstraintStart]],0)</f>
        <v>0</v>
      </c>
      <c r="CI55" s="89" t="n">
        <f aca="false">IF(OR(Tasks[[#This Row],[_ConstraintCode]]=2,Tasks[[#This Row],[_ConstraintCode]]=3,Tasks[[#This Row],[_ConstraintCode]]=5,Tasks[[#This Row],[_ConstraintCode]]=7),Tasks[[#This Row],[_ConstraintStart]],2958465)</f>
        <v>2958465</v>
      </c>
      <c r="CJ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5" s="89" t="str">
        <f aca="false">IF(NOT(Tasks[[#This Row],[_IsLeaf]]=1),"",IF(N(Tasks[[#This Row],[_Days]])&lt;=0,Tasks[[#This Row],[_LeafCalcStart]],WORKDAY.INTL(Tasks[[#This Row],[_LeafCalcStart]],Tasks[[#This Row],[_Days]]-1,WorkWeek,Holidays)))</f>
        <v/>
      </c>
      <c r="CL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5" s="42" t="str">
        <f aca="false">IF(Tasks[[#This Row],[_Predecessors]]="","",TRIM(MID(SUBSTITUTE(SUBSTITUTE(SUBSTITUTE(UPPER(Tasks[[#This Row],[_Predecessors]]),";",",")," ",""),",",REPT(" ",99)),1,99)))</f>
        <v/>
      </c>
      <c r="CO55" s="42" t="str">
        <f aca="false">IF(Tasks[[#This Row],[_Pred1Text]]="","",IFERROR(VALUE(LEFT(Tasks[[#This Row],[_Pred1Text]],MIN(FIND("F",Tasks[[#This Row],[_Pred1Text]]&amp;"F"),FIND("S",Tasks[[#This Row],[_Pred1Text]]&amp;"S"),FIND("+",Tasks[[#This Row],[_Pred1Text]]&amp;"+"),FIND("-",Tasks[[#This Row],[_Pred1Text]]&amp;"-"))-1)),""))</f>
        <v/>
      </c>
      <c r="CP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5" s="42" t="str">
        <f aca="false">IF(Tasks[[#This Row],[_Pred1Text]]="","",TRIM(MID(SUBSTITUTE(SUBSTITUTE(SUBSTITUTE(UPPER(Tasks[[#This Row],[_Predecessors]]),";",",")," ",""),",",REPT(" ",99)),100,99)))</f>
        <v/>
      </c>
      <c r="CS55" s="42" t="str">
        <f aca="false">IF(Tasks[[#This Row],[_Pred2Text]]="","",IFERROR(VALUE(LEFT(Tasks[[#This Row],[_Pred2Text]],MIN(FIND("F",Tasks[[#This Row],[_Pred2Text]]&amp;"F"),FIND("S",Tasks[[#This Row],[_Pred2Text]]&amp;"S"),FIND("+",Tasks[[#This Row],[_Pred2Text]]&amp;"+"),FIND("-",Tasks[[#This Row],[_Pred2Text]]&amp;"-"))-1)),""))</f>
        <v/>
      </c>
      <c r="CT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5" s="42" t="str">
        <f aca="false">IF(Tasks[[#This Row],[_Pred2Text]]="","",TRIM(MID(SUBSTITUTE(SUBSTITUTE(SUBSTITUTE(UPPER(Tasks[[#This Row],[_Predecessors]]),";",",")," ",""),",",REPT(" ",99)),199,99)))</f>
        <v/>
      </c>
      <c r="CW55" s="42" t="str">
        <f aca="false">IF(Tasks[[#This Row],[_Pred3Text]]="","",IFERROR(VALUE(LEFT(Tasks[[#This Row],[_Pred3Text]],MIN(FIND("F",Tasks[[#This Row],[_Pred3Text]]&amp;"F"),FIND("S",Tasks[[#This Row],[_Pred3Text]]&amp;"S"),FIND("+",Tasks[[#This Row],[_Pred3Text]]&amp;"+"),FIND("-",Tasks[[#This Row],[_Pred3Text]]&amp;"-"))-1)),""))</f>
        <v/>
      </c>
      <c r="CX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5" s="42" t="str">
        <f aca="false">IF(Tasks[[#This Row],[_Pred3Text]]="","",TRIM(MID(SUBSTITUTE(SUBSTITUTE(SUBSTITUTE(UPPER(Tasks[[#This Row],[_Predecessors]]),";",",")," ",""),",",REPT(" ",99)),298,99)))</f>
        <v/>
      </c>
      <c r="DA55" s="42" t="str">
        <f aca="false">IF(Tasks[[#This Row],[_Pred4Text]]="","",IFERROR(VALUE(LEFT(Tasks[[#This Row],[_Pred4Text]],MIN(FIND("F",Tasks[[#This Row],[_Pred4Text]]&amp;"F"),FIND("S",Tasks[[#This Row],[_Pred4Text]]&amp;"S"),FIND("+",Tasks[[#This Row],[_Pred4Text]]&amp;"+"),FIND("-",Tasks[[#This Row],[_Pred4Text]]&amp;"-"))-1)),""))</f>
        <v/>
      </c>
      <c r="DB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5" s="42" t="str">
        <f aca="false">IF(OR(Tasks[[#This Row],[Task Name]]="",Tasks[[#This Row],[_Resources]]=""),"",TRIM(MID(SUBSTITUTE(Tasks[[#This Row],[_Resources]],",",REPT(" ",99)),1,99)))</f>
        <v/>
      </c>
      <c r="DE55" s="42" t="str">
        <f aca="false">IF(Tasks[[#This Row],[_Res1Text]]="","",TRIM(MID(SUBSTITUTE(Tasks[[#This Row],[_Resources]],",",REPT(" ",99)),100,99)))</f>
        <v/>
      </c>
      <c r="DF55" s="42" t="str">
        <f aca="false">IF(Tasks[[#This Row],[_Res2Text]]="","",TRIM(MID(SUBSTITUTE(Tasks[[#This Row],[_Resources]],",",REPT(" ",99)),199,99)))</f>
        <v/>
      </c>
      <c r="DG55" s="42" t="str">
        <f aca="false">IF(Tasks[[#This Row],[_Res3Text]]="","",TRIM(MID(SUBSTITUTE(Tasks[[#This Row],[_Resources]],",",REPT(" ",99)),298,99)))</f>
        <v/>
      </c>
      <c r="DH55" s="42" t="n">
        <f aca="false">IF(Tasks[[#This Row],[_Res1Text]]="",0,IFERROR(MATCH(TRIM(LEFT(Tasks[[#This Row],[_Res1Text]],FIND("[",Tasks[[#This Row],[_Res1Text]]&amp;"[")-1)),res_Name,0),IFERROR(MATCH(TRIM(LEFT(Tasks[[#This Row],[_Res1Text]],FIND("[",Tasks[[#This Row],[_Res1Text]]&amp;"[")-1)),res_Initials,0),0)))</f>
        <v>0</v>
      </c>
      <c r="DI55" s="42" t="n">
        <f aca="false">IF(Tasks[[#This Row],[_Res2Text]]="",0,IFERROR(MATCH(TRIM(LEFT(Tasks[[#This Row],[_Res2Text]],FIND("[",Tasks[[#This Row],[_Res2Text]]&amp;"[")-1)),res_Name,0),IFERROR(MATCH(TRIM(LEFT(Tasks[[#This Row],[_Res2Text]],FIND("[",Tasks[[#This Row],[_Res2Text]]&amp;"[")-1)),res_Initials,0),0)))</f>
        <v>0</v>
      </c>
      <c r="DJ55" s="42" t="n">
        <f aca="false">IF(Tasks[[#This Row],[_Res3Text]]="",0,IFERROR(MATCH(TRIM(LEFT(Tasks[[#This Row],[_Res3Text]],FIND("[",Tasks[[#This Row],[_Res3Text]]&amp;"[")-1)),res_Name,0),IFERROR(MATCH(TRIM(LEFT(Tasks[[#This Row],[_Res3Text]],FIND("[",Tasks[[#This Row],[_Res3Text]]&amp;"[")-1)),res_Initials,0),0)))</f>
        <v>0</v>
      </c>
      <c r="DK55" s="42" t="n">
        <f aca="false">IF(Tasks[[#This Row],[_Res4Text]]="",0,IFERROR(MATCH(TRIM(LEFT(Tasks[[#This Row],[_Res4Text]],FIND("[",Tasks[[#This Row],[_Res4Text]]&amp;"[")-1)),res_Name,0),IFERROR(MATCH(TRIM(LEFT(Tasks[[#This Row],[_Res4Text]],FIND("[",Tasks[[#This Row],[_Res4Text]]&amp;"[")-1)),res_Initials,0),0)))</f>
        <v>0</v>
      </c>
      <c r="DL55" s="42" t="str">
        <f aca="false">IF(Tasks[[#This Row],[_Res1Text]]="","",IF(Tasks[[#This Row],[_Res1Row]]&gt;0,INDEX(res_Name,Tasks[[#This Row],[_Res1Row]]),TRIM(LEFT(Tasks[[#This Row],[_Res1Text]],FIND("[",Tasks[[#This Row],[_Res1Text]]&amp;"[")-1))))</f>
        <v/>
      </c>
      <c r="DM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5" s="42" t="n">
        <f aca="false">IF(NOT(Tasks[[#This Row],[_IsLeaf]]=1),0,(Tasks[[#This Row],[_Resource1]]&lt;&gt;"")+(Tasks[[#This Row],[_Res2]]&lt;&gt;"")+(Tasks[[#This Row],[_Res3]]&lt;&gt;"")+(Tasks[[#This Row],[_Res4]]&lt;&gt;""))</f>
        <v>0</v>
      </c>
      <c r="DO55" s="42" t="str">
        <f aca="false">IF(Tasks[[#This Row],[_Res2Text]]="","",IF(Tasks[[#This Row],[_Res2Row]]&gt;0,INDEX(res_Name,Tasks[[#This Row],[_Res2Row]]),TRIM(LEFT(Tasks[[#This Row],[_Res2Text]],FIND("[",Tasks[[#This Row],[_Res2Text]]&amp;"[")-1))))</f>
        <v/>
      </c>
      <c r="DP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5" s="42" t="n">
        <f aca="false">IF(OR(NOT(Tasks[[#This Row],[_IsLeaf]]=1),Tasks[[#This Row],[_Res2Row]]=0),0,N(Tasks[[#This Row],[_Days]])*HoursPerDay*IF(Tasks[[#This Row],[_Res2Units]]="",DefaultUnits,Tasks[[#This Row],[_Res2Units]]))</f>
        <v>0</v>
      </c>
      <c r="DR55" s="42" t="n">
        <f aca="false">IF(AND(AND(Tasks[[#This Row],[_IsLeaf]]=1,Tasks[[#This Row],[_LeafTotalWork]]&gt;0),Tasks[[#This Row],[_Res2Work]]&gt;0),Tasks[[#This Row],[_Res2Work]]/(Tasks[[#This Row],[_FinishWorkday]]-Tasks[[#This Row],[_StartWorkday]]+1),0)</f>
        <v>0</v>
      </c>
      <c r="DS55" s="42" t="n">
        <f aca="false">Tasks[[#This Row],[_Res2WorkPerWD]]*MAX(0,Tasks[[#This Row],[_StartWorkday]]-1)</f>
        <v>0</v>
      </c>
      <c r="DT55" s="42" t="n">
        <f aca="false">Tasks[[#This Row],[_Res2Work]]*Tasks[[#This Row],[_LeafProgress]]</f>
        <v>0</v>
      </c>
      <c r="DU55" s="42" t="str">
        <f aca="false">IF(Tasks[[#This Row],[_Res3Text]]="","",IF(Tasks[[#This Row],[_Res3Row]]&gt;0,INDEX(res_Name,Tasks[[#This Row],[_Res3Row]]),TRIM(LEFT(Tasks[[#This Row],[_Res3Text]],FIND("[",Tasks[[#This Row],[_Res3Text]]&amp;"[")-1))))</f>
        <v/>
      </c>
      <c r="DV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5" s="42" t="n">
        <f aca="false">IF(OR(NOT(Tasks[[#This Row],[_IsLeaf]]=1),Tasks[[#This Row],[_Res3Row]]=0),0,N(Tasks[[#This Row],[_Days]])*HoursPerDay*IF(Tasks[[#This Row],[_Res3Units]]="",DefaultUnits,Tasks[[#This Row],[_Res3Units]]))</f>
        <v>0</v>
      </c>
      <c r="DX55" s="42" t="n">
        <f aca="false">IF(AND(AND(Tasks[[#This Row],[_IsLeaf]]=1,Tasks[[#This Row],[_LeafTotalWork]]&gt;0),Tasks[[#This Row],[_Res3Work]]&gt;0),Tasks[[#This Row],[_Res3Work]]/(Tasks[[#This Row],[_FinishWorkday]]-Tasks[[#This Row],[_StartWorkday]]+1),0)</f>
        <v>0</v>
      </c>
      <c r="DY55" s="42" t="n">
        <f aca="false">Tasks[[#This Row],[_Res3WorkPerWD]]*MAX(0,Tasks[[#This Row],[_StartWorkday]]-1)</f>
        <v>0</v>
      </c>
      <c r="DZ55" s="42" t="n">
        <f aca="false">Tasks[[#This Row],[_Res3Work]]*Tasks[[#This Row],[_LeafProgress]]</f>
        <v>0</v>
      </c>
      <c r="EA55" s="42" t="str">
        <f aca="false">IF(Tasks[[#This Row],[_Res4Text]]="","",IF(Tasks[[#This Row],[_Res4Row]]&gt;0,INDEX(res_Name,Tasks[[#This Row],[_Res4Row]]),TRIM(LEFT(Tasks[[#This Row],[_Res4Text]],FIND("[",Tasks[[#This Row],[_Res4Text]]&amp;"[")-1))))</f>
        <v/>
      </c>
      <c r="EB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5" s="42" t="n">
        <f aca="false">IF(OR(NOT(Tasks[[#This Row],[_IsLeaf]]=1),Tasks[[#This Row],[_Res4Row]]=0),0,N(Tasks[[#This Row],[_Days]])*HoursPerDay*IF(Tasks[[#This Row],[_Res4Units]]="",DefaultUnits,Tasks[[#This Row],[_Res4Units]]))</f>
        <v>0</v>
      </c>
      <c r="ED55" s="42" t="n">
        <f aca="false">IF(AND(AND(Tasks[[#This Row],[_IsLeaf]]=1,Tasks[[#This Row],[_LeafTotalWork]]&gt;0),Tasks[[#This Row],[_Res4Work]]&gt;0),Tasks[[#This Row],[_Res4Work]]/(Tasks[[#This Row],[_FinishWorkday]]-Tasks[[#This Row],[_StartWorkday]]+1),0)</f>
        <v>0</v>
      </c>
      <c r="EE55" s="42" t="n">
        <f aca="false">Tasks[[#This Row],[_Res4WorkPerWD]]*MAX(0,Tasks[[#This Row],[_StartWorkday]]-1)</f>
        <v>0</v>
      </c>
      <c r="EF55" s="42" t="n">
        <f aca="false">Tasks[[#This Row],[_Res4Work]]*Tasks[[#This Row],[_LeafProgress]]</f>
        <v>0</v>
      </c>
      <c r="EG55" s="42" t="n">
        <f aca="false">IF(ISNUMBER(Tasks[[#This Row],[% Complete]]),Tasks[[#This Row],[% Complete]],IF(Tasks[[#This Row],[Stage]]="",0,IFERROR(INDEX(stg_Pct,MATCH(Tasks[[#This Row],[Stage]],stg_Name,0)),0)))</f>
        <v>0</v>
      </c>
      <c r="EH55" s="42" t="n">
        <f aca="false">IF(NOT(Tasks[[#This Row],[_IsLeaf]]=1),0,IF(N(Tasks[[#This Row],[Actual Finish]])&gt;0,1,MIN(1,Tasks[[#This Row],[_Pct]])))</f>
        <v>0</v>
      </c>
      <c r="EI55" s="42" t="n">
        <f aca="false">IF(OR(NOT(Tasks[[#This Row],[_IsLeaf]]=1),Tasks[[#This Row],[_Res1Row]]=0),0,N(Tasks[[#This Row],[_Days]])*HoursPerDay*IF(Tasks[[#This Row],[_Units1]]="",DefaultUnits,Tasks[[#This Row],[_Units1]]))</f>
        <v>0</v>
      </c>
      <c r="EJ55" s="42" t="n">
        <f aca="false">Tasks[[#This Row],[_LeafWork]]+Tasks[[#This Row],[_Res2Work]]+Tasks[[#This Row],[_Res3Work]]+Tasks[[#This Row],[_Res4Work]]</f>
        <v>0</v>
      </c>
      <c r="EK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5" s="42" t="n">
        <f aca="false">IF(NOT(Tasks[[#This Row],[_IsLeaf]]=1),0,MAX(_xlfn.MAXIFS(Tasks[_Row],Tasks[_Pred1UID],Tasks[[#This Row],[UID]]),_xlfn.MAXIFS(Tasks[_Row],Tasks[_Pred2UID],Tasks[[#This Row],[UID]]),_xlfn.MAXIFS(Tasks[_Row],Tasks[_Pred3UID],Tasks[[#This Row],[UID]]),_xlfn.MAXIFS(Tasks[_Row],Tasks[_Pred4UID],Tasks[[#This Row],[UID]])))</f>
        <v>0</v>
      </c>
      <c r="ET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5" s="89" t="str">
        <f aca="false">IF(NOT(Tasks[[#This Row],[_IsLeaf]]=1),"",IF(N(Tasks[[#This Row],[_Days]])&lt;=0,Tasks[[#This Row],[_LeafLateFinish]],WORKDAY.INTL(Tasks[[#This Row],[_LeafLateFinish]],-(Tasks[[#This Row],[_Days]]-1),WorkWeek,Holidays)))</f>
        <v/>
      </c>
      <c r="EW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5" s="88" t="b">
        <f aca="false">AND(Tasks[[#This Row],[_IsLeaf]]=1,Tasks[[#This Row],[_LeafProgress]]&lt;1,N(Tasks[[#This Row],[_LeafTotalSlack]])&lt;=CriticalSlackDays)</f>
        <v>0</v>
      </c>
      <c r="EY55" s="42" t="n">
        <f aca="false">IF(AND(Tasks[[#This Row],[_IsLeaf]]=1,Tasks[[#This Row],[_ConstraintCode]]=1,Tasks[[#This Row],[Mode]]&lt;&gt;"Manual",N(Tasks[[#This Row],[Actual Start]])=0),MAX(0,N(Tasks[[#This Row],[Free Slack]])),0)</f>
        <v>0</v>
      </c>
      <c r="EZ55" s="89" t="str">
        <f aca="false">IF(NOT(Tasks[[#This Row],[_IsLeaf]]=1),"",IF(Tasks[[#This Row],[_AlapShift]]=0,Tasks[[#This Row],[_LeafCalcStart]],WORKDAY.INTL(Tasks[[#This Row],[_LeafCalcStart]],Tasks[[#This Row],[_AlapShift]],WorkWeek,Holidays)))</f>
        <v/>
      </c>
      <c r="FA55" s="89" t="str">
        <f aca="false">IF(NOT(Tasks[[#This Row],[_IsLeaf]]=1),"",IF(Tasks[[#This Row],[_AlapShift]]=0,Tasks[[#This Row],[_LeafCalcFinish]],WORKDAY.INTL(Tasks[[#This Row],[_LeafCalcFinish]],Tasks[[#This Row],[_AlapShift]],WorkWeek,Holidays)))</f>
        <v/>
      </c>
      <c r="FB55" s="89" t="str">
        <f aca="false">IF(NOT(Tasks[[#This Row],[_IsLeaf]]=1),"",IF(Tasks[[#This Row],[_AlapShift]]=0,Tasks[[#This Row],[_LeafFcstStart]],WORKDAY.INTL(Tasks[[#This Row],[_LeafFcstStart]],Tasks[[#This Row],[_AlapShift]],WorkWeek,Holidays)))</f>
        <v/>
      </c>
      <c r="FC55" s="89" t="str">
        <f aca="false">IF(NOT(Tasks[[#This Row],[_IsLeaf]]=1),"",IF(Tasks[[#This Row],[_AlapShift]]=0,Tasks[[#This Row],[_LeafFcstFinish]],WORKDAY.INTL(Tasks[[#This Row],[_LeafFcstFinish]],Tasks[[#This Row],[_AlapShift]],WorkWeek,Holidays)))</f>
        <v/>
      </c>
      <c r="FD55" s="89" t="str">
        <f aca="false">IF(Tasks[[#This Row],[Task Name]]="","",IF(Tasks[[#This Row],[_IsSummary]],MIN(INDEX(Tasks[_ShownCalcStart],Tasks[[#This Row],[_Row]]+1):INDEX(Tasks[_ShownCalcStart],Tasks[[#This Row],[_Row]]+Tasks[[#This Row],[_Descendants]])),Tasks[[#This Row],[_ShownCalcStart]]))</f>
        <v/>
      </c>
      <c r="FE55" s="89" t="str">
        <f aca="false">IF(Tasks[[#This Row],[Task Name]]="","",IF(Tasks[[#This Row],[_IsSummary]],MAX(INDEX(Tasks[_ShownCalcFinish],Tasks[[#This Row],[_Row]]+1):INDEX(Tasks[_ShownCalcFinish],Tasks[[#This Row],[_Row]]+Tasks[[#This Row],[_Descendants]])),Tasks[[#This Row],[_ShownCalcFinish]]))</f>
        <v/>
      </c>
      <c r="FF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5" s="42" t="n">
        <f aca="false">IF(AND(Tasks[[#This Row],[_IsLeaf]]=1,Tasks[[#This Row],[_LeafTotalWork]]&gt;0),NETWORKDAYS.INTL(ProjectStart,Tasks[[#This Row],[_ShownFcstStart]],WorkWeek,Holidays),0)</f>
        <v>0</v>
      </c>
      <c r="FS55" s="42" t="n">
        <f aca="false">IF(AND(Tasks[[#This Row],[_IsLeaf]]=1,Tasks[[#This Row],[_LeafTotalWork]]&gt;0),MAX(Tasks[[#This Row],[_StartWorkday]],NETWORKDAYS.INTL(ProjectStart,Tasks[[#This Row],[_ShownFcstFinish]],WorkWeek,Holidays)),0)</f>
        <v>0</v>
      </c>
      <c r="FT55" s="42" t="n">
        <f aca="false">IF(AND(Tasks[[#This Row],[_IsLeaf]]=1,Tasks[[#This Row],[_LeafTotalWork]]&gt;0),Tasks[[#This Row],[_LeafWork]]/(Tasks[[#This Row],[_FinishWorkday]]-Tasks[[#This Row],[_StartWorkday]]+1),0)</f>
        <v>0</v>
      </c>
      <c r="FU55" s="42" t="n">
        <f aca="false">Tasks[[#This Row],[_WorkPerWorkday]]*(Tasks[[#This Row],[_StartWorkday]]-1)</f>
        <v>-0</v>
      </c>
      <c r="FV55" s="42" t="n">
        <f aca="false">IF(Tasks[[#This Row],[_IsLeaf]]=1,MAX(N(Tasks[[#This Row],[_Days]]),0.1),0)</f>
        <v>0</v>
      </c>
      <c r="FW55" s="42" t="n">
        <f aca="false">Tasks[[#This Row],[_WeightDur]]*Tasks[[#This Row],[_LeafProgress]]</f>
        <v>0</v>
      </c>
      <c r="FX55" s="42" t="n">
        <f aca="false">Tasks[[#This Row],[_WeightDur]]*Tasks[[#This Row],[_PlannedPct]]</f>
        <v>0</v>
      </c>
      <c r="FY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5" s="42" t="str">
        <f aca="false">IF(AND(Tasks[[#This Row],[_IsLeaf]]=1,N(Tasks[[#This Row],[_Days]])=0,Tasks[[#This Row],[_LeafProgress]]&lt;1),Tasks[[#This Row],[_ShownFcstFinish]]+Tasks[[#This Row],[_Row]]/100000,"")</f>
        <v/>
      </c>
      <c r="GA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5" s="42" t="str">
        <f aca="false">IF(Tasks[[#This Row],[Task Name]]="","",LEFT(Tasks[[#This Row],[WBS]],FIND(".",Tasks[[#This Row],[WBS]]&amp;".")-1))</f>
        <v/>
      </c>
      <c r="GC55" s="42" t="str">
        <f aca="false">IF(AND(Tasks[[#This Row],[Task Name]]&lt;&gt;"",Tasks[[#This Row],[_Level]]=1),Tasks[[#This Row],[_Row]],"")</f>
        <v/>
      </c>
      <c r="GD55" s="42" t="str">
        <f aca="false">IF(AND(Tasks[[#This Row],[_IsLeaf]]=1,N(Tasks[[#This Row],[_Days]])=0),Tasks[[#This Row],[Planned Finish]]+Tasks[[#This Row],[_Row]]/100000,"")</f>
        <v/>
      </c>
      <c r="GE55" s="42" t="str">
        <f aca="false">IF(AND(Tasks[[#This Row],[_IsLeaf]]=1,Tasks[[#This Row],[_LeafProgress]]&lt;1,OR(N(Tasks[[#This Row],[Finish Var]])&gt;0,Tasks[[#This Row],[Status]]="Late Start")),MAX(0,Tasks[[#This Row],[Finish Var]])+1-Tasks[[#This Row],[_Row]]/1000000,"")</f>
        <v/>
      </c>
      <c r="GF55" s="42" t="str">
        <f aca="false">IF(AND(Tasks[[#This Row],[_IsLeaf]]=1,N(Tasks[[#This Row],[Actual Start]])=0,Tasks[[#This Row],[_ShownFcstStart]]&gt;=StatusDate,Tasks[[#This Row],[_ShownFcstStart]]&lt;=LookaheadEnd),Tasks[[#This Row],[_ShownFcstStart]]+Tasks[[#This Row],[_Row]]/100000,"")</f>
        <v/>
      </c>
      <c r="GG55" s="42" t="str">
        <f aca="false">IF(AND(Tasks[[#This Row],[_IsLeaf]]=1,Tasks[[#This Row],[_LeafProgress]]&lt;1,Tasks[[#This Row],[_ShownFcstFinish]]&gt;=StatusDate,Tasks[[#This Row],[_ShownFcstFinish]]&lt;=LookaheadEnd),Tasks[[#This Row],[_ShownFcstFinish]]+Tasks[[#This Row],[_Row]]/100000,"")</f>
        <v/>
      </c>
      <c r="GH55" s="42" t="str">
        <f aca="false">IF(Tasks[[#This Row],[_LeafCritical]],Tasks[[#This Row],[_ShownFcstStart]]+Tasks[[#This Row],[_Row]]/100000,"")</f>
        <v/>
      </c>
      <c r="GI55" s="42" t="n">
        <f aca="false">Tasks[[#This Row],[_LeafWork]]*Tasks[[#This Row],[_LeafProgress]]</f>
        <v>0</v>
      </c>
      <c r="GJ55" s="89" t="str">
        <f aca="false">IF(AND(Tasks[[#This Row],[_IsLeaf]]=1,Tasks[[#This Row],[_LeafProgress]]&gt;=1),IF(N(Tasks[[#This Row],[Actual Finish]])&gt;0,Tasks[[#This Row],[Actual Finish]],Tasks[[#This Row],[_ShownFcstFinish]]),"")</f>
        <v/>
      </c>
      <c r="GK55" s="42" t="n">
        <f aca="false">IF(Tasks[[#This Row],[_IsLeaf]]=1,N(Tasks[[#This Row],[Story Points]]),0)</f>
        <v>0</v>
      </c>
      <c r="GL55" s="42" t="str">
        <f aca="false">""</f>
        <v/>
      </c>
      <c r="GM55" s="88" t="b">
        <f aca="false">IF(Tasks[[#This Row],[Task Name]]="",FALSE(),AND(Tasks[[#This Row],[_IsLeaf]]=1,N(Tasks[[#This Row],[_Days]])=0))</f>
        <v>0</v>
      </c>
      <c r="GN55" s="89" t="n">
        <f aca="false">IF(Tasks[[#This Row],[Task Name]]="",0,IF(AND(Tasks[[#This Row],[_IsLeaf]]=1,NOT(Tasks[[#This Row],[_IsMilestone]]),N(Tasks[[#This Row],[Progress]])&gt;0),Tasks[[#This Row],[Start]],0))</f>
        <v>0</v>
      </c>
      <c r="GO55" s="89" t="n">
        <f aca="false">IF(Tasks[[#This Row],[_DoneFrom]]=0,0,IF(Tasks[[#This Row],[Progress]]&gt;=1,Tasks[[#This Row],[Finish]],MAX(Tasks[[#This Row],[_DoneFrom]],Tasks[[#This Row],[Start]]+ROUND((Tasks[[#This Row],[Finish]]-Tasks[[#This Row],[Start]]+1)*Tasks[[#This Row],[Progress]],0)-1)))</f>
        <v>0</v>
      </c>
      <c r="GP55" s="89" t="n">
        <f aca="false">IF(Tasks[[#This Row],[Task Name]]="",0,IF(OR(NOT(Tasks[[#This Row],[_IsLeaf]]=1),Tasks[[#This Row],[_IsMilestone]],N(Tasks[[#This Row],[Progress]])&gt;=1),0,IF(Tasks[[#This Row],[_DoneTo]]&gt;0,Tasks[[#This Row],[_DoneTo]]+1,Tasks[[#This Row],[Start]])))</f>
        <v>0</v>
      </c>
      <c r="GQ55" s="89" t="n">
        <f aca="false">IF(Tasks[[#This Row],[_RemFrom]]=0,0,Tasks[[#This Row],[Finish]])</f>
        <v>0</v>
      </c>
      <c r="GR55" s="88" t="b">
        <f aca="false">IF(Tasks[[#This Row],[Task Name]]="",FALSE(),OR(NOT(BaselineSet),N(Tasks[[#This Row],[Baseline Start]])&gt;0))</f>
        <v>0</v>
      </c>
      <c r="GS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5" s="90" t="str">
        <f aca="false">IF(Tasks[[#This Row],[_IsLeaf]]=1,Tasks[[#This Row],[_Row]],"")</f>
        <v/>
      </c>
      <c r="GW55" s="90" t="str">
        <f aca="false">IFERROR(INDEX(Tasks[UID],SMALL(Tasks[_PickKey],Tasks[[#This Row],[_Row]]))&amp;" "&amp;INDEX(Tasks[Task Name],SMALL(Tasks[_PickKey],Tasks[[#This Row],[_Row]])),"")</f>
        <v/>
      </c>
      <c r="GX55" s="42" t="str">
        <f aca="false">IF(Tasks[[#This Row],[Task Name]]="","",IF(Tasks[[#This Row],[_IsSummary]],NETWORKDAYS.INTL(Tasks[[#This Row],[Start]],Tasks[[#This Row],[Finish]],WorkWeek,Holidays),N(Tasks[[#This Row],[_Days]])))</f>
        <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3"/>
      <c r="U56" s="23"/>
      <c r="V56" s="83"/>
      <c r="W56" s="23"/>
      <c r="X56" s="83"/>
      <c r="Y56" s="23"/>
      <c r="Z56" s="83"/>
      <c r="AA56" s="23"/>
      <c r="AB56" s="23"/>
      <c r="AC56" s="7"/>
      <c r="AD56" s="7"/>
      <c r="AE56" s="62" t="str">
        <f aca="false">IF(Tasks[[#This Row],[Task Name]]="","",IF(Tasks[[#This Row],[_IsSummary]],MIN(INDEX(Tasks[_ShownFcstStart],Tasks[[#This Row],[_Row]]+1):INDEX(Tasks[_ShownFcstStart],Tasks[[#This Row],[_Row]]+Tasks[[#This Row],[_Descendants]])),Tasks[[#This Row],[_ShownFcstStart]]))</f>
        <v/>
      </c>
      <c r="AF56" s="62"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6" s="7"/>
      <c r="AK56" s="22"/>
      <c r="AL56" s="23"/>
      <c r="AM56" s="7"/>
      <c r="AN56" s="46"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2" t="str">
        <f aca="false">IF(Tasks[[#This Row],[Task Name]]="","",IF(N(Tasks[[#This Row],[Baseline Start]])&gt;0,Tasks[[#This Row],[Baseline Start]],Tasks[[#This Row],[_CalcStart]]))</f>
        <v/>
      </c>
      <c r="AR56" s="62" t="str">
        <f aca="false">IF(Tasks[[#This Row],[Task Name]]="","",IF(N(Tasks[[#This Row],[Baseline Finish]])&gt;0,Tasks[[#This Row],[Baseline Finish]],Tasks[[#This Row],[_CalcFinish]]))</f>
        <v/>
      </c>
      <c r="AS56" s="46" t="str">
        <f aca="false">IF(Tasks[[#This Row],[Task Name]]="","",IF(Tasks[[#This Row],[Start]]&gt;=Tasks[[#This Row],[Planned Start]],NETWORKDAYS.INTL(Tasks[[#This Row],[Planned Start]],Tasks[[#This Row],[Start]],WorkWeek,Holidays)-1,1-NETWORKDAYS.INTL(Tasks[[#This Row],[Start]],Tasks[[#This Row],[Planned Start]],WorkWeek,Holidays)))</f>
        <v/>
      </c>
      <c r="AT56" s="62" t="str">
        <f aca="false">IF(Tasks[[#This Row],[Task Name]]="","",IF(Tasks[[#This Row],[_IsSummary]],MIN(INDEX(Tasks[_LeafLateStart],Tasks[[#This Row],[_Row]]+1):INDEX(Tasks[_LeafLateStart],Tasks[[#This Row],[_Row]]+Tasks[[#This Row],[_Descendants]])),Tasks[[#This Row],[_LeafLateStart]]))</f>
        <v/>
      </c>
      <c r="AU56" s="62" t="str">
        <f aca="false">IF(Tasks[[#This Row],[Task Name]]="","",IF(Tasks[[#This Row],[_IsSummary]],MAX(INDEX(Tasks[_LeafLateFinish],Tasks[[#This Row],[_Row]]+1):INDEX(Tasks[_LeafLateFinish],Tasks[[#This Row],[_Row]]+Tasks[[#This Row],[_Descendants]])),Tasks[[#This Row],[_LeafLateFinish]]))</f>
        <v/>
      </c>
      <c r="AV56" s="46"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4"/>
      <c r="BA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5"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6"/>
      <c r="BJ56" s="22"/>
      <c r="BK56" s="46" t="str">
        <f aca="false">IF(OR(Tasks[[#This Row],[Task Name]]="",Tasks[[#This Row],[Baseline Duration]]=""),"",Tasks[[#This Row],[_SpanDays]]-N(Tasks[[#This Row],[Baseline Duration]]))</f>
        <v/>
      </c>
      <c r="BL56" s="85" t="str">
        <f aca="false">IF(OR(Tasks[[#This Row],[Task Name]]="",Tasks[[#This Row],[Baseline Work]]=""),"",Tasks[[#This Row],[Work]]-N(Tasks[[#This Row],[Baseline Work]]))</f>
        <v/>
      </c>
      <c r="BM56" s="62" t="str">
        <f aca="false">IF(Tasks[[#This Row],[Task Name]]="","",IF(OR(TakeBaseline="Yes",N(Tasks[[#This Row],[Baseline Start]])=0),Tasks[[#This Row],[Start]],Tasks[[#This Row],[Baseline Start]]))</f>
        <v/>
      </c>
      <c r="BN56" s="62"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5" t="str">
        <f aca="false">IF(Tasks[[#This Row],[Task Name]]="","",IF(OR(TakeBaseline="Yes",N(Tasks[[#This Row],[Baseline Work]])=0),Tasks[[#This Row],[Work]],Tasks[[#This Row],[Baseline Work]]))</f>
        <v/>
      </c>
      <c r="BQ56" s="7"/>
      <c r="BR56" s="7"/>
      <c r="BS56" s="22"/>
      <c r="BT56" s="87"/>
      <c r="BU56" s="42" t="str">
        <f aca="false">IF(Tasks[[#This Row],[Task Name]]="","",MAX(1,N(Tasks[[#This Row],[Level]])))</f>
        <v/>
      </c>
      <c r="BV56" s="42" t="n">
        <f aca="false">ROW()-ROW(Tasks[[#Headers],[ID]])</f>
        <v>51</v>
      </c>
      <c r="BW56" s="42" t="n">
        <f aca="false">IF(OR(Tasks[[#This Row],[Task Name]]="",Tasks[[#This Row],[_Level]]&lt;=1),0,IFERROR(LOOKUP(2,1/(Tasks[[#Headers],[_Level]]:Tasks[[#This Row],[_Level]]=Tasks[[#This Row],[_Level]]-1),ROW(Tasks[[#Headers],[_Level]]:Tasks[[#This Row],[_Level]])),0))</f>
        <v>0</v>
      </c>
      <c r="BX56" s="42" t="n">
        <f aca="false">IFERROR(N(INDEX(Tasks[_Level],Tasks[[#This Row],[_Row]]+1)),0)</f>
        <v>0</v>
      </c>
      <c r="BY56" s="88" t="b">
        <f aca="false">AND(Tasks[[#This Row],[Task Name]]&lt;&gt;"",Tasks[[#This Row],[_NextLevel]]&gt;Tasks[[#This Row],[_Level]])</f>
        <v>0</v>
      </c>
      <c r="BZ56" s="42" t="n">
        <f aca="false">IF(Tasks[[#This Row],[_IsSummary]],COUNTIF(Tasks[WBS],Tasks[[#This Row],[WBS]]&amp;".*"),0)</f>
        <v>0</v>
      </c>
      <c r="CA56" s="42" t="n">
        <f aca="false">IF(AND(Tasks[[#This Row],[Task Name]]&lt;&gt;"",NOT(Tasks[[#This Row],[_IsSummary]])),1,0)</f>
        <v>0</v>
      </c>
      <c r="CB56" s="42" t="n">
        <f aca="false">IF(N(Tasks[[#This Row],[_Pred1UID]])=0,0,IFERROR(MATCH(Tasks[[#This Row],[_Pred1UID]],Tasks[UID],0),-1))</f>
        <v>0</v>
      </c>
      <c r="CC56" s="42" t="n">
        <f aca="false">IF(N(Tasks[[#This Row],[_Pred2UID]])=0,0,IFERROR(MATCH(Tasks[[#This Row],[_Pred2UID]],Tasks[UID],0),-1))</f>
        <v>0</v>
      </c>
      <c r="CD56" s="42" t="n">
        <f aca="false">IF(N(Tasks[[#This Row],[_Pred3UID]])=0,0,IFERROR(MATCH(Tasks[[#This Row],[_Pred3UID]],Tasks[UID],0),-1))</f>
        <v>0</v>
      </c>
      <c r="CE56" s="42" t="n">
        <f aca="false">IF(N(Tasks[[#This Row],[_Pred4UID]])=0,0,IFERROR(MATCH(Tasks[[#This Row],[_Pred4UID]],Tasks[UID],0),-1))</f>
        <v>0</v>
      </c>
      <c r="CF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6" s="89" t="n">
        <f aca="false">IF(OR(Tasks[[#This Row],[_ConstraintCode]]=2,Tasks[[#This Row],[_ConstraintCode]]=3,Tasks[[#This Row],[_ConstraintCode]]=4,Tasks[[#This Row],[_ConstraintCode]]=6),Tasks[[#This Row],[_ConstraintStart]],0)</f>
        <v>0</v>
      </c>
      <c r="CI56" s="89" t="n">
        <f aca="false">IF(OR(Tasks[[#This Row],[_ConstraintCode]]=2,Tasks[[#This Row],[_ConstraintCode]]=3,Tasks[[#This Row],[_ConstraintCode]]=5,Tasks[[#This Row],[_ConstraintCode]]=7),Tasks[[#This Row],[_ConstraintStart]],2958465)</f>
        <v>2958465</v>
      </c>
      <c r="CJ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6" s="89" t="str">
        <f aca="false">IF(NOT(Tasks[[#This Row],[_IsLeaf]]=1),"",IF(N(Tasks[[#This Row],[_Days]])&lt;=0,Tasks[[#This Row],[_LeafCalcStart]],WORKDAY.INTL(Tasks[[#This Row],[_LeafCalcStart]],Tasks[[#This Row],[_Days]]-1,WorkWeek,Holidays)))</f>
        <v/>
      </c>
      <c r="CL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6" s="42" t="str">
        <f aca="false">IF(Tasks[[#This Row],[_Predecessors]]="","",TRIM(MID(SUBSTITUTE(SUBSTITUTE(SUBSTITUTE(UPPER(Tasks[[#This Row],[_Predecessors]]),";",",")," ",""),",",REPT(" ",99)),1,99)))</f>
        <v/>
      </c>
      <c r="CO56" s="42" t="str">
        <f aca="false">IF(Tasks[[#This Row],[_Pred1Text]]="","",IFERROR(VALUE(LEFT(Tasks[[#This Row],[_Pred1Text]],MIN(FIND("F",Tasks[[#This Row],[_Pred1Text]]&amp;"F"),FIND("S",Tasks[[#This Row],[_Pred1Text]]&amp;"S"),FIND("+",Tasks[[#This Row],[_Pred1Text]]&amp;"+"),FIND("-",Tasks[[#This Row],[_Pred1Text]]&amp;"-"))-1)),""))</f>
        <v/>
      </c>
      <c r="CP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6" s="42" t="str">
        <f aca="false">IF(Tasks[[#This Row],[_Pred1Text]]="","",TRIM(MID(SUBSTITUTE(SUBSTITUTE(SUBSTITUTE(UPPER(Tasks[[#This Row],[_Predecessors]]),";",",")," ",""),",",REPT(" ",99)),100,99)))</f>
        <v/>
      </c>
      <c r="CS56" s="42" t="str">
        <f aca="false">IF(Tasks[[#This Row],[_Pred2Text]]="","",IFERROR(VALUE(LEFT(Tasks[[#This Row],[_Pred2Text]],MIN(FIND("F",Tasks[[#This Row],[_Pred2Text]]&amp;"F"),FIND("S",Tasks[[#This Row],[_Pred2Text]]&amp;"S"),FIND("+",Tasks[[#This Row],[_Pred2Text]]&amp;"+"),FIND("-",Tasks[[#This Row],[_Pred2Text]]&amp;"-"))-1)),""))</f>
        <v/>
      </c>
      <c r="CT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6" s="42" t="str">
        <f aca="false">IF(Tasks[[#This Row],[_Pred2Text]]="","",TRIM(MID(SUBSTITUTE(SUBSTITUTE(SUBSTITUTE(UPPER(Tasks[[#This Row],[_Predecessors]]),";",",")," ",""),",",REPT(" ",99)),199,99)))</f>
        <v/>
      </c>
      <c r="CW56" s="42" t="str">
        <f aca="false">IF(Tasks[[#This Row],[_Pred3Text]]="","",IFERROR(VALUE(LEFT(Tasks[[#This Row],[_Pred3Text]],MIN(FIND("F",Tasks[[#This Row],[_Pred3Text]]&amp;"F"),FIND("S",Tasks[[#This Row],[_Pred3Text]]&amp;"S"),FIND("+",Tasks[[#This Row],[_Pred3Text]]&amp;"+"),FIND("-",Tasks[[#This Row],[_Pred3Text]]&amp;"-"))-1)),""))</f>
        <v/>
      </c>
      <c r="CX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6" s="42" t="str">
        <f aca="false">IF(Tasks[[#This Row],[_Pred3Text]]="","",TRIM(MID(SUBSTITUTE(SUBSTITUTE(SUBSTITUTE(UPPER(Tasks[[#This Row],[_Predecessors]]),";",",")," ",""),",",REPT(" ",99)),298,99)))</f>
        <v/>
      </c>
      <c r="DA56" s="42" t="str">
        <f aca="false">IF(Tasks[[#This Row],[_Pred4Text]]="","",IFERROR(VALUE(LEFT(Tasks[[#This Row],[_Pred4Text]],MIN(FIND("F",Tasks[[#This Row],[_Pred4Text]]&amp;"F"),FIND("S",Tasks[[#This Row],[_Pred4Text]]&amp;"S"),FIND("+",Tasks[[#This Row],[_Pred4Text]]&amp;"+"),FIND("-",Tasks[[#This Row],[_Pred4Text]]&amp;"-"))-1)),""))</f>
        <v/>
      </c>
      <c r="DB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6" s="42" t="str">
        <f aca="false">IF(OR(Tasks[[#This Row],[Task Name]]="",Tasks[[#This Row],[_Resources]]=""),"",TRIM(MID(SUBSTITUTE(Tasks[[#This Row],[_Resources]],",",REPT(" ",99)),1,99)))</f>
        <v/>
      </c>
      <c r="DE56" s="42" t="str">
        <f aca="false">IF(Tasks[[#This Row],[_Res1Text]]="","",TRIM(MID(SUBSTITUTE(Tasks[[#This Row],[_Resources]],",",REPT(" ",99)),100,99)))</f>
        <v/>
      </c>
      <c r="DF56" s="42" t="str">
        <f aca="false">IF(Tasks[[#This Row],[_Res2Text]]="","",TRIM(MID(SUBSTITUTE(Tasks[[#This Row],[_Resources]],",",REPT(" ",99)),199,99)))</f>
        <v/>
      </c>
      <c r="DG56" s="42" t="str">
        <f aca="false">IF(Tasks[[#This Row],[_Res3Text]]="","",TRIM(MID(SUBSTITUTE(Tasks[[#This Row],[_Resources]],",",REPT(" ",99)),298,99)))</f>
        <v/>
      </c>
      <c r="DH56" s="42" t="n">
        <f aca="false">IF(Tasks[[#This Row],[_Res1Text]]="",0,IFERROR(MATCH(TRIM(LEFT(Tasks[[#This Row],[_Res1Text]],FIND("[",Tasks[[#This Row],[_Res1Text]]&amp;"[")-1)),res_Name,0),IFERROR(MATCH(TRIM(LEFT(Tasks[[#This Row],[_Res1Text]],FIND("[",Tasks[[#This Row],[_Res1Text]]&amp;"[")-1)),res_Initials,0),0)))</f>
        <v>0</v>
      </c>
      <c r="DI56" s="42" t="n">
        <f aca="false">IF(Tasks[[#This Row],[_Res2Text]]="",0,IFERROR(MATCH(TRIM(LEFT(Tasks[[#This Row],[_Res2Text]],FIND("[",Tasks[[#This Row],[_Res2Text]]&amp;"[")-1)),res_Name,0),IFERROR(MATCH(TRIM(LEFT(Tasks[[#This Row],[_Res2Text]],FIND("[",Tasks[[#This Row],[_Res2Text]]&amp;"[")-1)),res_Initials,0),0)))</f>
        <v>0</v>
      </c>
      <c r="DJ56" s="42" t="n">
        <f aca="false">IF(Tasks[[#This Row],[_Res3Text]]="",0,IFERROR(MATCH(TRIM(LEFT(Tasks[[#This Row],[_Res3Text]],FIND("[",Tasks[[#This Row],[_Res3Text]]&amp;"[")-1)),res_Name,0),IFERROR(MATCH(TRIM(LEFT(Tasks[[#This Row],[_Res3Text]],FIND("[",Tasks[[#This Row],[_Res3Text]]&amp;"[")-1)),res_Initials,0),0)))</f>
        <v>0</v>
      </c>
      <c r="DK56" s="42" t="n">
        <f aca="false">IF(Tasks[[#This Row],[_Res4Text]]="",0,IFERROR(MATCH(TRIM(LEFT(Tasks[[#This Row],[_Res4Text]],FIND("[",Tasks[[#This Row],[_Res4Text]]&amp;"[")-1)),res_Name,0),IFERROR(MATCH(TRIM(LEFT(Tasks[[#This Row],[_Res4Text]],FIND("[",Tasks[[#This Row],[_Res4Text]]&amp;"[")-1)),res_Initials,0),0)))</f>
        <v>0</v>
      </c>
      <c r="DL56" s="42" t="str">
        <f aca="false">IF(Tasks[[#This Row],[_Res1Text]]="","",IF(Tasks[[#This Row],[_Res1Row]]&gt;0,INDEX(res_Name,Tasks[[#This Row],[_Res1Row]]),TRIM(LEFT(Tasks[[#This Row],[_Res1Text]],FIND("[",Tasks[[#This Row],[_Res1Text]]&amp;"[")-1))))</f>
        <v/>
      </c>
      <c r="DM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6" s="42" t="n">
        <f aca="false">IF(NOT(Tasks[[#This Row],[_IsLeaf]]=1),0,(Tasks[[#This Row],[_Resource1]]&lt;&gt;"")+(Tasks[[#This Row],[_Res2]]&lt;&gt;"")+(Tasks[[#This Row],[_Res3]]&lt;&gt;"")+(Tasks[[#This Row],[_Res4]]&lt;&gt;""))</f>
        <v>0</v>
      </c>
      <c r="DO56" s="42" t="str">
        <f aca="false">IF(Tasks[[#This Row],[_Res2Text]]="","",IF(Tasks[[#This Row],[_Res2Row]]&gt;0,INDEX(res_Name,Tasks[[#This Row],[_Res2Row]]),TRIM(LEFT(Tasks[[#This Row],[_Res2Text]],FIND("[",Tasks[[#This Row],[_Res2Text]]&amp;"[")-1))))</f>
        <v/>
      </c>
      <c r="DP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6" s="42" t="n">
        <f aca="false">IF(OR(NOT(Tasks[[#This Row],[_IsLeaf]]=1),Tasks[[#This Row],[_Res2Row]]=0),0,N(Tasks[[#This Row],[_Days]])*HoursPerDay*IF(Tasks[[#This Row],[_Res2Units]]="",DefaultUnits,Tasks[[#This Row],[_Res2Units]]))</f>
        <v>0</v>
      </c>
      <c r="DR56" s="42" t="n">
        <f aca="false">IF(AND(AND(Tasks[[#This Row],[_IsLeaf]]=1,Tasks[[#This Row],[_LeafTotalWork]]&gt;0),Tasks[[#This Row],[_Res2Work]]&gt;0),Tasks[[#This Row],[_Res2Work]]/(Tasks[[#This Row],[_FinishWorkday]]-Tasks[[#This Row],[_StartWorkday]]+1),0)</f>
        <v>0</v>
      </c>
      <c r="DS56" s="42" t="n">
        <f aca="false">Tasks[[#This Row],[_Res2WorkPerWD]]*MAX(0,Tasks[[#This Row],[_StartWorkday]]-1)</f>
        <v>0</v>
      </c>
      <c r="DT56" s="42" t="n">
        <f aca="false">Tasks[[#This Row],[_Res2Work]]*Tasks[[#This Row],[_LeafProgress]]</f>
        <v>0</v>
      </c>
      <c r="DU56" s="42" t="str">
        <f aca="false">IF(Tasks[[#This Row],[_Res3Text]]="","",IF(Tasks[[#This Row],[_Res3Row]]&gt;0,INDEX(res_Name,Tasks[[#This Row],[_Res3Row]]),TRIM(LEFT(Tasks[[#This Row],[_Res3Text]],FIND("[",Tasks[[#This Row],[_Res3Text]]&amp;"[")-1))))</f>
        <v/>
      </c>
      <c r="DV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6" s="42" t="n">
        <f aca="false">IF(OR(NOT(Tasks[[#This Row],[_IsLeaf]]=1),Tasks[[#This Row],[_Res3Row]]=0),0,N(Tasks[[#This Row],[_Days]])*HoursPerDay*IF(Tasks[[#This Row],[_Res3Units]]="",DefaultUnits,Tasks[[#This Row],[_Res3Units]]))</f>
        <v>0</v>
      </c>
      <c r="DX56" s="42" t="n">
        <f aca="false">IF(AND(AND(Tasks[[#This Row],[_IsLeaf]]=1,Tasks[[#This Row],[_LeafTotalWork]]&gt;0),Tasks[[#This Row],[_Res3Work]]&gt;0),Tasks[[#This Row],[_Res3Work]]/(Tasks[[#This Row],[_FinishWorkday]]-Tasks[[#This Row],[_StartWorkday]]+1),0)</f>
        <v>0</v>
      </c>
      <c r="DY56" s="42" t="n">
        <f aca="false">Tasks[[#This Row],[_Res3WorkPerWD]]*MAX(0,Tasks[[#This Row],[_StartWorkday]]-1)</f>
        <v>0</v>
      </c>
      <c r="DZ56" s="42" t="n">
        <f aca="false">Tasks[[#This Row],[_Res3Work]]*Tasks[[#This Row],[_LeafProgress]]</f>
        <v>0</v>
      </c>
      <c r="EA56" s="42" t="str">
        <f aca="false">IF(Tasks[[#This Row],[_Res4Text]]="","",IF(Tasks[[#This Row],[_Res4Row]]&gt;0,INDEX(res_Name,Tasks[[#This Row],[_Res4Row]]),TRIM(LEFT(Tasks[[#This Row],[_Res4Text]],FIND("[",Tasks[[#This Row],[_Res4Text]]&amp;"[")-1))))</f>
        <v/>
      </c>
      <c r="EB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6" s="42" t="n">
        <f aca="false">IF(OR(NOT(Tasks[[#This Row],[_IsLeaf]]=1),Tasks[[#This Row],[_Res4Row]]=0),0,N(Tasks[[#This Row],[_Days]])*HoursPerDay*IF(Tasks[[#This Row],[_Res4Units]]="",DefaultUnits,Tasks[[#This Row],[_Res4Units]]))</f>
        <v>0</v>
      </c>
      <c r="ED56" s="42" t="n">
        <f aca="false">IF(AND(AND(Tasks[[#This Row],[_IsLeaf]]=1,Tasks[[#This Row],[_LeafTotalWork]]&gt;0),Tasks[[#This Row],[_Res4Work]]&gt;0),Tasks[[#This Row],[_Res4Work]]/(Tasks[[#This Row],[_FinishWorkday]]-Tasks[[#This Row],[_StartWorkday]]+1),0)</f>
        <v>0</v>
      </c>
      <c r="EE56" s="42" t="n">
        <f aca="false">Tasks[[#This Row],[_Res4WorkPerWD]]*MAX(0,Tasks[[#This Row],[_StartWorkday]]-1)</f>
        <v>0</v>
      </c>
      <c r="EF56" s="42" t="n">
        <f aca="false">Tasks[[#This Row],[_Res4Work]]*Tasks[[#This Row],[_LeafProgress]]</f>
        <v>0</v>
      </c>
      <c r="EG56" s="42" t="n">
        <f aca="false">IF(ISNUMBER(Tasks[[#This Row],[% Complete]]),Tasks[[#This Row],[% Complete]],IF(Tasks[[#This Row],[Stage]]="",0,IFERROR(INDEX(stg_Pct,MATCH(Tasks[[#This Row],[Stage]],stg_Name,0)),0)))</f>
        <v>0</v>
      </c>
      <c r="EH56" s="42" t="n">
        <f aca="false">IF(NOT(Tasks[[#This Row],[_IsLeaf]]=1),0,IF(N(Tasks[[#This Row],[Actual Finish]])&gt;0,1,MIN(1,Tasks[[#This Row],[_Pct]])))</f>
        <v>0</v>
      </c>
      <c r="EI56" s="42" t="n">
        <f aca="false">IF(OR(NOT(Tasks[[#This Row],[_IsLeaf]]=1),Tasks[[#This Row],[_Res1Row]]=0),0,N(Tasks[[#This Row],[_Days]])*HoursPerDay*IF(Tasks[[#This Row],[_Units1]]="",DefaultUnits,Tasks[[#This Row],[_Units1]]))</f>
        <v>0</v>
      </c>
      <c r="EJ56" s="42" t="n">
        <f aca="false">Tasks[[#This Row],[_LeafWork]]+Tasks[[#This Row],[_Res2Work]]+Tasks[[#This Row],[_Res3Work]]+Tasks[[#This Row],[_Res4Work]]</f>
        <v>0</v>
      </c>
      <c r="EK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6" s="42" t="n">
        <f aca="false">IF(NOT(Tasks[[#This Row],[_IsLeaf]]=1),0,MAX(_xlfn.MAXIFS(Tasks[_Row],Tasks[_Pred1UID],Tasks[[#This Row],[UID]]),_xlfn.MAXIFS(Tasks[_Row],Tasks[_Pred2UID],Tasks[[#This Row],[UID]]),_xlfn.MAXIFS(Tasks[_Row],Tasks[_Pred3UID],Tasks[[#This Row],[UID]]),_xlfn.MAXIFS(Tasks[_Row],Tasks[_Pred4UID],Tasks[[#This Row],[UID]])))</f>
        <v>0</v>
      </c>
      <c r="ET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6" s="89" t="str">
        <f aca="false">IF(NOT(Tasks[[#This Row],[_IsLeaf]]=1),"",IF(N(Tasks[[#This Row],[_Days]])&lt;=0,Tasks[[#This Row],[_LeafLateFinish]],WORKDAY.INTL(Tasks[[#This Row],[_LeafLateFinish]],-(Tasks[[#This Row],[_Days]]-1),WorkWeek,Holidays)))</f>
        <v/>
      </c>
      <c r="EW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6" s="88" t="b">
        <f aca="false">AND(Tasks[[#This Row],[_IsLeaf]]=1,Tasks[[#This Row],[_LeafProgress]]&lt;1,N(Tasks[[#This Row],[_LeafTotalSlack]])&lt;=CriticalSlackDays)</f>
        <v>0</v>
      </c>
      <c r="EY56" s="42" t="n">
        <f aca="false">IF(AND(Tasks[[#This Row],[_IsLeaf]]=1,Tasks[[#This Row],[_ConstraintCode]]=1,Tasks[[#This Row],[Mode]]&lt;&gt;"Manual",N(Tasks[[#This Row],[Actual Start]])=0),MAX(0,N(Tasks[[#This Row],[Free Slack]])),0)</f>
        <v>0</v>
      </c>
      <c r="EZ56" s="89" t="str">
        <f aca="false">IF(NOT(Tasks[[#This Row],[_IsLeaf]]=1),"",IF(Tasks[[#This Row],[_AlapShift]]=0,Tasks[[#This Row],[_LeafCalcStart]],WORKDAY.INTL(Tasks[[#This Row],[_LeafCalcStart]],Tasks[[#This Row],[_AlapShift]],WorkWeek,Holidays)))</f>
        <v/>
      </c>
      <c r="FA56" s="89" t="str">
        <f aca="false">IF(NOT(Tasks[[#This Row],[_IsLeaf]]=1),"",IF(Tasks[[#This Row],[_AlapShift]]=0,Tasks[[#This Row],[_LeafCalcFinish]],WORKDAY.INTL(Tasks[[#This Row],[_LeafCalcFinish]],Tasks[[#This Row],[_AlapShift]],WorkWeek,Holidays)))</f>
        <v/>
      </c>
      <c r="FB56" s="89" t="str">
        <f aca="false">IF(NOT(Tasks[[#This Row],[_IsLeaf]]=1),"",IF(Tasks[[#This Row],[_AlapShift]]=0,Tasks[[#This Row],[_LeafFcstStart]],WORKDAY.INTL(Tasks[[#This Row],[_LeafFcstStart]],Tasks[[#This Row],[_AlapShift]],WorkWeek,Holidays)))</f>
        <v/>
      </c>
      <c r="FC56" s="89" t="str">
        <f aca="false">IF(NOT(Tasks[[#This Row],[_IsLeaf]]=1),"",IF(Tasks[[#This Row],[_AlapShift]]=0,Tasks[[#This Row],[_LeafFcstFinish]],WORKDAY.INTL(Tasks[[#This Row],[_LeafFcstFinish]],Tasks[[#This Row],[_AlapShift]],WorkWeek,Holidays)))</f>
        <v/>
      </c>
      <c r="FD56" s="89" t="str">
        <f aca="false">IF(Tasks[[#This Row],[Task Name]]="","",IF(Tasks[[#This Row],[_IsSummary]],MIN(INDEX(Tasks[_ShownCalcStart],Tasks[[#This Row],[_Row]]+1):INDEX(Tasks[_ShownCalcStart],Tasks[[#This Row],[_Row]]+Tasks[[#This Row],[_Descendants]])),Tasks[[#This Row],[_ShownCalcStart]]))</f>
        <v/>
      </c>
      <c r="FE56" s="89" t="str">
        <f aca="false">IF(Tasks[[#This Row],[Task Name]]="","",IF(Tasks[[#This Row],[_IsSummary]],MAX(INDEX(Tasks[_ShownCalcFinish],Tasks[[#This Row],[_Row]]+1):INDEX(Tasks[_ShownCalcFinish],Tasks[[#This Row],[_Row]]+Tasks[[#This Row],[_Descendants]])),Tasks[[#This Row],[_ShownCalcFinish]]))</f>
        <v/>
      </c>
      <c r="FF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6" s="42" t="n">
        <f aca="false">IF(AND(Tasks[[#This Row],[_IsLeaf]]=1,Tasks[[#This Row],[_LeafTotalWork]]&gt;0),NETWORKDAYS.INTL(ProjectStart,Tasks[[#This Row],[_ShownFcstStart]],WorkWeek,Holidays),0)</f>
        <v>0</v>
      </c>
      <c r="FS56" s="42" t="n">
        <f aca="false">IF(AND(Tasks[[#This Row],[_IsLeaf]]=1,Tasks[[#This Row],[_LeafTotalWork]]&gt;0),MAX(Tasks[[#This Row],[_StartWorkday]],NETWORKDAYS.INTL(ProjectStart,Tasks[[#This Row],[_ShownFcstFinish]],WorkWeek,Holidays)),0)</f>
        <v>0</v>
      </c>
      <c r="FT56" s="42" t="n">
        <f aca="false">IF(AND(Tasks[[#This Row],[_IsLeaf]]=1,Tasks[[#This Row],[_LeafTotalWork]]&gt;0),Tasks[[#This Row],[_LeafWork]]/(Tasks[[#This Row],[_FinishWorkday]]-Tasks[[#This Row],[_StartWorkday]]+1),0)</f>
        <v>0</v>
      </c>
      <c r="FU56" s="42" t="n">
        <f aca="false">Tasks[[#This Row],[_WorkPerWorkday]]*(Tasks[[#This Row],[_StartWorkday]]-1)</f>
        <v>-0</v>
      </c>
      <c r="FV56" s="42" t="n">
        <f aca="false">IF(Tasks[[#This Row],[_IsLeaf]]=1,MAX(N(Tasks[[#This Row],[_Days]]),0.1),0)</f>
        <v>0</v>
      </c>
      <c r="FW56" s="42" t="n">
        <f aca="false">Tasks[[#This Row],[_WeightDur]]*Tasks[[#This Row],[_LeafProgress]]</f>
        <v>0</v>
      </c>
      <c r="FX56" s="42" t="n">
        <f aca="false">Tasks[[#This Row],[_WeightDur]]*Tasks[[#This Row],[_PlannedPct]]</f>
        <v>0</v>
      </c>
      <c r="FY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6" s="42" t="str">
        <f aca="false">IF(AND(Tasks[[#This Row],[_IsLeaf]]=1,N(Tasks[[#This Row],[_Days]])=0,Tasks[[#This Row],[_LeafProgress]]&lt;1),Tasks[[#This Row],[_ShownFcstFinish]]+Tasks[[#This Row],[_Row]]/100000,"")</f>
        <v/>
      </c>
      <c r="GA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6" s="42" t="str">
        <f aca="false">IF(Tasks[[#This Row],[Task Name]]="","",LEFT(Tasks[[#This Row],[WBS]],FIND(".",Tasks[[#This Row],[WBS]]&amp;".")-1))</f>
        <v/>
      </c>
      <c r="GC56" s="42" t="str">
        <f aca="false">IF(AND(Tasks[[#This Row],[Task Name]]&lt;&gt;"",Tasks[[#This Row],[_Level]]=1),Tasks[[#This Row],[_Row]],"")</f>
        <v/>
      </c>
      <c r="GD56" s="42" t="str">
        <f aca="false">IF(AND(Tasks[[#This Row],[_IsLeaf]]=1,N(Tasks[[#This Row],[_Days]])=0),Tasks[[#This Row],[Planned Finish]]+Tasks[[#This Row],[_Row]]/100000,"")</f>
        <v/>
      </c>
      <c r="GE56" s="42" t="str">
        <f aca="false">IF(AND(Tasks[[#This Row],[_IsLeaf]]=1,Tasks[[#This Row],[_LeafProgress]]&lt;1,OR(N(Tasks[[#This Row],[Finish Var]])&gt;0,Tasks[[#This Row],[Status]]="Late Start")),MAX(0,Tasks[[#This Row],[Finish Var]])+1-Tasks[[#This Row],[_Row]]/1000000,"")</f>
        <v/>
      </c>
      <c r="GF56" s="42" t="str">
        <f aca="false">IF(AND(Tasks[[#This Row],[_IsLeaf]]=1,N(Tasks[[#This Row],[Actual Start]])=0,Tasks[[#This Row],[_ShownFcstStart]]&gt;=StatusDate,Tasks[[#This Row],[_ShownFcstStart]]&lt;=LookaheadEnd),Tasks[[#This Row],[_ShownFcstStart]]+Tasks[[#This Row],[_Row]]/100000,"")</f>
        <v/>
      </c>
      <c r="GG56" s="42" t="str">
        <f aca="false">IF(AND(Tasks[[#This Row],[_IsLeaf]]=1,Tasks[[#This Row],[_LeafProgress]]&lt;1,Tasks[[#This Row],[_ShownFcstFinish]]&gt;=StatusDate,Tasks[[#This Row],[_ShownFcstFinish]]&lt;=LookaheadEnd),Tasks[[#This Row],[_ShownFcstFinish]]+Tasks[[#This Row],[_Row]]/100000,"")</f>
        <v/>
      </c>
      <c r="GH56" s="42" t="str">
        <f aca="false">IF(Tasks[[#This Row],[_LeafCritical]],Tasks[[#This Row],[_ShownFcstStart]]+Tasks[[#This Row],[_Row]]/100000,"")</f>
        <v/>
      </c>
      <c r="GI56" s="42" t="n">
        <f aca="false">Tasks[[#This Row],[_LeafWork]]*Tasks[[#This Row],[_LeafProgress]]</f>
        <v>0</v>
      </c>
      <c r="GJ56" s="89" t="str">
        <f aca="false">IF(AND(Tasks[[#This Row],[_IsLeaf]]=1,Tasks[[#This Row],[_LeafProgress]]&gt;=1),IF(N(Tasks[[#This Row],[Actual Finish]])&gt;0,Tasks[[#This Row],[Actual Finish]],Tasks[[#This Row],[_ShownFcstFinish]]),"")</f>
        <v/>
      </c>
      <c r="GK56" s="42" t="n">
        <f aca="false">IF(Tasks[[#This Row],[_IsLeaf]]=1,N(Tasks[[#This Row],[Story Points]]),0)</f>
        <v>0</v>
      </c>
      <c r="GL56" s="42" t="str">
        <f aca="false">""</f>
        <v/>
      </c>
      <c r="GM56" s="88" t="b">
        <f aca="false">IF(Tasks[[#This Row],[Task Name]]="",FALSE(),AND(Tasks[[#This Row],[_IsLeaf]]=1,N(Tasks[[#This Row],[_Days]])=0))</f>
        <v>0</v>
      </c>
      <c r="GN56" s="89" t="n">
        <f aca="false">IF(Tasks[[#This Row],[Task Name]]="",0,IF(AND(Tasks[[#This Row],[_IsLeaf]]=1,NOT(Tasks[[#This Row],[_IsMilestone]]),N(Tasks[[#This Row],[Progress]])&gt;0),Tasks[[#This Row],[Start]],0))</f>
        <v>0</v>
      </c>
      <c r="GO56" s="89" t="n">
        <f aca="false">IF(Tasks[[#This Row],[_DoneFrom]]=0,0,IF(Tasks[[#This Row],[Progress]]&gt;=1,Tasks[[#This Row],[Finish]],MAX(Tasks[[#This Row],[_DoneFrom]],Tasks[[#This Row],[Start]]+ROUND((Tasks[[#This Row],[Finish]]-Tasks[[#This Row],[Start]]+1)*Tasks[[#This Row],[Progress]],0)-1)))</f>
        <v>0</v>
      </c>
      <c r="GP56" s="89" t="n">
        <f aca="false">IF(Tasks[[#This Row],[Task Name]]="",0,IF(OR(NOT(Tasks[[#This Row],[_IsLeaf]]=1),Tasks[[#This Row],[_IsMilestone]],N(Tasks[[#This Row],[Progress]])&gt;=1),0,IF(Tasks[[#This Row],[_DoneTo]]&gt;0,Tasks[[#This Row],[_DoneTo]]+1,Tasks[[#This Row],[Start]])))</f>
        <v>0</v>
      </c>
      <c r="GQ56" s="89" t="n">
        <f aca="false">IF(Tasks[[#This Row],[_RemFrom]]=0,0,Tasks[[#This Row],[Finish]])</f>
        <v>0</v>
      </c>
      <c r="GR56" s="88" t="b">
        <f aca="false">IF(Tasks[[#This Row],[Task Name]]="",FALSE(),OR(NOT(BaselineSet),N(Tasks[[#This Row],[Baseline Start]])&gt;0))</f>
        <v>0</v>
      </c>
      <c r="GS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6" s="90" t="str">
        <f aca="false">IF(Tasks[[#This Row],[_IsLeaf]]=1,Tasks[[#This Row],[_Row]],"")</f>
        <v/>
      </c>
      <c r="GW56" s="90" t="str">
        <f aca="false">IFERROR(INDEX(Tasks[UID],SMALL(Tasks[_PickKey],Tasks[[#This Row],[_Row]]))&amp;" "&amp;INDEX(Tasks[Task Name],SMALL(Tasks[_PickKey],Tasks[[#This Row],[_Row]])),"")</f>
        <v/>
      </c>
      <c r="GX56" s="42" t="str">
        <f aca="false">IF(Tasks[[#This Row],[Task Name]]="","",IF(Tasks[[#This Row],[_IsSummary]],NETWORKDAYS.INTL(Tasks[[#This Row],[Start]],Tasks[[#This Row],[Finish]],WorkWeek,Holidays),N(Tasks[[#This Row],[_Days]])))</f>
        <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3"/>
      <c r="U57" s="23"/>
      <c r="V57" s="83"/>
      <c r="W57" s="23"/>
      <c r="X57" s="83"/>
      <c r="Y57" s="23"/>
      <c r="Z57" s="83"/>
      <c r="AA57" s="23"/>
      <c r="AB57" s="23"/>
      <c r="AC57" s="7"/>
      <c r="AD57" s="7"/>
      <c r="AE57" s="62" t="str">
        <f aca="false">IF(Tasks[[#This Row],[Task Name]]="","",IF(Tasks[[#This Row],[_IsSummary]],MIN(INDEX(Tasks[_ShownFcstStart],Tasks[[#This Row],[_Row]]+1):INDEX(Tasks[_ShownFcstStart],Tasks[[#This Row],[_Row]]+Tasks[[#This Row],[_Descendants]])),Tasks[[#This Row],[_ShownFcstStart]]))</f>
        <v/>
      </c>
      <c r="AF57" s="62"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7" s="7"/>
      <c r="AK57" s="22"/>
      <c r="AL57" s="23"/>
      <c r="AM57" s="7"/>
      <c r="AN57" s="46"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2" t="str">
        <f aca="false">IF(Tasks[[#This Row],[Task Name]]="","",IF(N(Tasks[[#This Row],[Baseline Start]])&gt;0,Tasks[[#This Row],[Baseline Start]],Tasks[[#This Row],[_CalcStart]]))</f>
        <v/>
      </c>
      <c r="AR57" s="62" t="str">
        <f aca="false">IF(Tasks[[#This Row],[Task Name]]="","",IF(N(Tasks[[#This Row],[Baseline Finish]])&gt;0,Tasks[[#This Row],[Baseline Finish]],Tasks[[#This Row],[_CalcFinish]]))</f>
        <v/>
      </c>
      <c r="AS57" s="46" t="str">
        <f aca="false">IF(Tasks[[#This Row],[Task Name]]="","",IF(Tasks[[#This Row],[Start]]&gt;=Tasks[[#This Row],[Planned Start]],NETWORKDAYS.INTL(Tasks[[#This Row],[Planned Start]],Tasks[[#This Row],[Start]],WorkWeek,Holidays)-1,1-NETWORKDAYS.INTL(Tasks[[#This Row],[Start]],Tasks[[#This Row],[Planned Start]],WorkWeek,Holidays)))</f>
        <v/>
      </c>
      <c r="AT57" s="62" t="str">
        <f aca="false">IF(Tasks[[#This Row],[Task Name]]="","",IF(Tasks[[#This Row],[_IsSummary]],MIN(INDEX(Tasks[_LeafLateStart],Tasks[[#This Row],[_Row]]+1):INDEX(Tasks[_LeafLateStart],Tasks[[#This Row],[_Row]]+Tasks[[#This Row],[_Descendants]])),Tasks[[#This Row],[_LeafLateStart]]))</f>
        <v/>
      </c>
      <c r="AU57" s="62" t="str">
        <f aca="false">IF(Tasks[[#This Row],[Task Name]]="","",IF(Tasks[[#This Row],[_IsSummary]],MAX(INDEX(Tasks[_LeafLateFinish],Tasks[[#This Row],[_Row]]+1):INDEX(Tasks[_LeafLateFinish],Tasks[[#This Row],[_Row]]+Tasks[[#This Row],[_Descendants]])),Tasks[[#This Row],[_LeafLateFinish]]))</f>
        <v/>
      </c>
      <c r="AV57" s="46"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4"/>
      <c r="BA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5"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6"/>
      <c r="BJ57" s="22"/>
      <c r="BK57" s="46" t="str">
        <f aca="false">IF(OR(Tasks[[#This Row],[Task Name]]="",Tasks[[#This Row],[Baseline Duration]]=""),"",Tasks[[#This Row],[_SpanDays]]-N(Tasks[[#This Row],[Baseline Duration]]))</f>
        <v/>
      </c>
      <c r="BL57" s="85" t="str">
        <f aca="false">IF(OR(Tasks[[#This Row],[Task Name]]="",Tasks[[#This Row],[Baseline Work]]=""),"",Tasks[[#This Row],[Work]]-N(Tasks[[#This Row],[Baseline Work]]))</f>
        <v/>
      </c>
      <c r="BM57" s="62" t="str">
        <f aca="false">IF(Tasks[[#This Row],[Task Name]]="","",IF(OR(TakeBaseline="Yes",N(Tasks[[#This Row],[Baseline Start]])=0),Tasks[[#This Row],[Start]],Tasks[[#This Row],[Baseline Start]]))</f>
        <v/>
      </c>
      <c r="BN57" s="62"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5" t="str">
        <f aca="false">IF(Tasks[[#This Row],[Task Name]]="","",IF(OR(TakeBaseline="Yes",N(Tasks[[#This Row],[Baseline Work]])=0),Tasks[[#This Row],[Work]],Tasks[[#This Row],[Baseline Work]]))</f>
        <v/>
      </c>
      <c r="BQ57" s="7"/>
      <c r="BR57" s="7"/>
      <c r="BS57" s="22"/>
      <c r="BT57" s="87"/>
      <c r="BU57" s="42" t="str">
        <f aca="false">IF(Tasks[[#This Row],[Task Name]]="","",MAX(1,N(Tasks[[#This Row],[Level]])))</f>
        <v/>
      </c>
      <c r="BV57" s="42" t="n">
        <f aca="false">ROW()-ROW(Tasks[[#Headers],[ID]])</f>
        <v>52</v>
      </c>
      <c r="BW57" s="42" t="n">
        <f aca="false">IF(OR(Tasks[[#This Row],[Task Name]]="",Tasks[[#This Row],[_Level]]&lt;=1),0,IFERROR(LOOKUP(2,1/(Tasks[[#Headers],[_Level]]:Tasks[[#This Row],[_Level]]=Tasks[[#This Row],[_Level]]-1),ROW(Tasks[[#Headers],[_Level]]:Tasks[[#This Row],[_Level]])),0))</f>
        <v>0</v>
      </c>
      <c r="BX57" s="42" t="n">
        <f aca="false">IFERROR(N(INDEX(Tasks[_Level],Tasks[[#This Row],[_Row]]+1)),0)</f>
        <v>0</v>
      </c>
      <c r="BY57" s="88" t="b">
        <f aca="false">AND(Tasks[[#This Row],[Task Name]]&lt;&gt;"",Tasks[[#This Row],[_NextLevel]]&gt;Tasks[[#This Row],[_Level]])</f>
        <v>0</v>
      </c>
      <c r="BZ57" s="42" t="n">
        <f aca="false">IF(Tasks[[#This Row],[_IsSummary]],COUNTIF(Tasks[WBS],Tasks[[#This Row],[WBS]]&amp;".*"),0)</f>
        <v>0</v>
      </c>
      <c r="CA57" s="42" t="n">
        <f aca="false">IF(AND(Tasks[[#This Row],[Task Name]]&lt;&gt;"",NOT(Tasks[[#This Row],[_IsSummary]])),1,0)</f>
        <v>0</v>
      </c>
      <c r="CB57" s="42" t="n">
        <f aca="false">IF(N(Tasks[[#This Row],[_Pred1UID]])=0,0,IFERROR(MATCH(Tasks[[#This Row],[_Pred1UID]],Tasks[UID],0),-1))</f>
        <v>0</v>
      </c>
      <c r="CC57" s="42" t="n">
        <f aca="false">IF(N(Tasks[[#This Row],[_Pred2UID]])=0,0,IFERROR(MATCH(Tasks[[#This Row],[_Pred2UID]],Tasks[UID],0),-1))</f>
        <v>0</v>
      </c>
      <c r="CD57" s="42" t="n">
        <f aca="false">IF(N(Tasks[[#This Row],[_Pred3UID]])=0,0,IFERROR(MATCH(Tasks[[#This Row],[_Pred3UID]],Tasks[UID],0),-1))</f>
        <v>0</v>
      </c>
      <c r="CE57" s="42" t="n">
        <f aca="false">IF(N(Tasks[[#This Row],[_Pred4UID]])=0,0,IFERROR(MATCH(Tasks[[#This Row],[_Pred4UID]],Tasks[UID],0),-1))</f>
        <v>0</v>
      </c>
      <c r="CF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7" s="89" t="n">
        <f aca="false">IF(OR(Tasks[[#This Row],[_ConstraintCode]]=2,Tasks[[#This Row],[_ConstraintCode]]=3,Tasks[[#This Row],[_ConstraintCode]]=4,Tasks[[#This Row],[_ConstraintCode]]=6),Tasks[[#This Row],[_ConstraintStart]],0)</f>
        <v>0</v>
      </c>
      <c r="CI57" s="89" t="n">
        <f aca="false">IF(OR(Tasks[[#This Row],[_ConstraintCode]]=2,Tasks[[#This Row],[_ConstraintCode]]=3,Tasks[[#This Row],[_ConstraintCode]]=5,Tasks[[#This Row],[_ConstraintCode]]=7),Tasks[[#This Row],[_ConstraintStart]],2958465)</f>
        <v>2958465</v>
      </c>
      <c r="CJ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7" s="89" t="str">
        <f aca="false">IF(NOT(Tasks[[#This Row],[_IsLeaf]]=1),"",IF(N(Tasks[[#This Row],[_Days]])&lt;=0,Tasks[[#This Row],[_LeafCalcStart]],WORKDAY.INTL(Tasks[[#This Row],[_LeafCalcStart]],Tasks[[#This Row],[_Days]]-1,WorkWeek,Holidays)))</f>
        <v/>
      </c>
      <c r="CL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7" s="42" t="str">
        <f aca="false">IF(Tasks[[#This Row],[_Predecessors]]="","",TRIM(MID(SUBSTITUTE(SUBSTITUTE(SUBSTITUTE(UPPER(Tasks[[#This Row],[_Predecessors]]),";",",")," ",""),",",REPT(" ",99)),1,99)))</f>
        <v/>
      </c>
      <c r="CO57" s="42" t="str">
        <f aca="false">IF(Tasks[[#This Row],[_Pred1Text]]="","",IFERROR(VALUE(LEFT(Tasks[[#This Row],[_Pred1Text]],MIN(FIND("F",Tasks[[#This Row],[_Pred1Text]]&amp;"F"),FIND("S",Tasks[[#This Row],[_Pred1Text]]&amp;"S"),FIND("+",Tasks[[#This Row],[_Pred1Text]]&amp;"+"),FIND("-",Tasks[[#This Row],[_Pred1Text]]&amp;"-"))-1)),""))</f>
        <v/>
      </c>
      <c r="CP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7" s="42" t="str">
        <f aca="false">IF(Tasks[[#This Row],[_Pred1Text]]="","",TRIM(MID(SUBSTITUTE(SUBSTITUTE(SUBSTITUTE(UPPER(Tasks[[#This Row],[_Predecessors]]),";",",")," ",""),",",REPT(" ",99)),100,99)))</f>
        <v/>
      </c>
      <c r="CS57" s="42" t="str">
        <f aca="false">IF(Tasks[[#This Row],[_Pred2Text]]="","",IFERROR(VALUE(LEFT(Tasks[[#This Row],[_Pred2Text]],MIN(FIND("F",Tasks[[#This Row],[_Pred2Text]]&amp;"F"),FIND("S",Tasks[[#This Row],[_Pred2Text]]&amp;"S"),FIND("+",Tasks[[#This Row],[_Pred2Text]]&amp;"+"),FIND("-",Tasks[[#This Row],[_Pred2Text]]&amp;"-"))-1)),""))</f>
        <v/>
      </c>
      <c r="CT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7" s="42" t="str">
        <f aca="false">IF(Tasks[[#This Row],[_Pred2Text]]="","",TRIM(MID(SUBSTITUTE(SUBSTITUTE(SUBSTITUTE(UPPER(Tasks[[#This Row],[_Predecessors]]),";",",")," ",""),",",REPT(" ",99)),199,99)))</f>
        <v/>
      </c>
      <c r="CW57" s="42" t="str">
        <f aca="false">IF(Tasks[[#This Row],[_Pred3Text]]="","",IFERROR(VALUE(LEFT(Tasks[[#This Row],[_Pred3Text]],MIN(FIND("F",Tasks[[#This Row],[_Pred3Text]]&amp;"F"),FIND("S",Tasks[[#This Row],[_Pred3Text]]&amp;"S"),FIND("+",Tasks[[#This Row],[_Pred3Text]]&amp;"+"),FIND("-",Tasks[[#This Row],[_Pred3Text]]&amp;"-"))-1)),""))</f>
        <v/>
      </c>
      <c r="CX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7" s="42" t="str">
        <f aca="false">IF(Tasks[[#This Row],[_Pred3Text]]="","",TRIM(MID(SUBSTITUTE(SUBSTITUTE(SUBSTITUTE(UPPER(Tasks[[#This Row],[_Predecessors]]),";",",")," ",""),",",REPT(" ",99)),298,99)))</f>
        <v/>
      </c>
      <c r="DA57" s="42" t="str">
        <f aca="false">IF(Tasks[[#This Row],[_Pred4Text]]="","",IFERROR(VALUE(LEFT(Tasks[[#This Row],[_Pred4Text]],MIN(FIND("F",Tasks[[#This Row],[_Pred4Text]]&amp;"F"),FIND("S",Tasks[[#This Row],[_Pred4Text]]&amp;"S"),FIND("+",Tasks[[#This Row],[_Pred4Text]]&amp;"+"),FIND("-",Tasks[[#This Row],[_Pred4Text]]&amp;"-"))-1)),""))</f>
        <v/>
      </c>
      <c r="DB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7" s="42" t="str">
        <f aca="false">IF(OR(Tasks[[#This Row],[Task Name]]="",Tasks[[#This Row],[_Resources]]=""),"",TRIM(MID(SUBSTITUTE(Tasks[[#This Row],[_Resources]],",",REPT(" ",99)),1,99)))</f>
        <v/>
      </c>
      <c r="DE57" s="42" t="str">
        <f aca="false">IF(Tasks[[#This Row],[_Res1Text]]="","",TRIM(MID(SUBSTITUTE(Tasks[[#This Row],[_Resources]],",",REPT(" ",99)),100,99)))</f>
        <v/>
      </c>
      <c r="DF57" s="42" t="str">
        <f aca="false">IF(Tasks[[#This Row],[_Res2Text]]="","",TRIM(MID(SUBSTITUTE(Tasks[[#This Row],[_Resources]],",",REPT(" ",99)),199,99)))</f>
        <v/>
      </c>
      <c r="DG57" s="42" t="str">
        <f aca="false">IF(Tasks[[#This Row],[_Res3Text]]="","",TRIM(MID(SUBSTITUTE(Tasks[[#This Row],[_Resources]],",",REPT(" ",99)),298,99)))</f>
        <v/>
      </c>
      <c r="DH57" s="42" t="n">
        <f aca="false">IF(Tasks[[#This Row],[_Res1Text]]="",0,IFERROR(MATCH(TRIM(LEFT(Tasks[[#This Row],[_Res1Text]],FIND("[",Tasks[[#This Row],[_Res1Text]]&amp;"[")-1)),res_Name,0),IFERROR(MATCH(TRIM(LEFT(Tasks[[#This Row],[_Res1Text]],FIND("[",Tasks[[#This Row],[_Res1Text]]&amp;"[")-1)),res_Initials,0),0)))</f>
        <v>0</v>
      </c>
      <c r="DI57" s="42" t="n">
        <f aca="false">IF(Tasks[[#This Row],[_Res2Text]]="",0,IFERROR(MATCH(TRIM(LEFT(Tasks[[#This Row],[_Res2Text]],FIND("[",Tasks[[#This Row],[_Res2Text]]&amp;"[")-1)),res_Name,0),IFERROR(MATCH(TRIM(LEFT(Tasks[[#This Row],[_Res2Text]],FIND("[",Tasks[[#This Row],[_Res2Text]]&amp;"[")-1)),res_Initials,0),0)))</f>
        <v>0</v>
      </c>
      <c r="DJ57" s="42" t="n">
        <f aca="false">IF(Tasks[[#This Row],[_Res3Text]]="",0,IFERROR(MATCH(TRIM(LEFT(Tasks[[#This Row],[_Res3Text]],FIND("[",Tasks[[#This Row],[_Res3Text]]&amp;"[")-1)),res_Name,0),IFERROR(MATCH(TRIM(LEFT(Tasks[[#This Row],[_Res3Text]],FIND("[",Tasks[[#This Row],[_Res3Text]]&amp;"[")-1)),res_Initials,0),0)))</f>
        <v>0</v>
      </c>
      <c r="DK57" s="42" t="n">
        <f aca="false">IF(Tasks[[#This Row],[_Res4Text]]="",0,IFERROR(MATCH(TRIM(LEFT(Tasks[[#This Row],[_Res4Text]],FIND("[",Tasks[[#This Row],[_Res4Text]]&amp;"[")-1)),res_Name,0),IFERROR(MATCH(TRIM(LEFT(Tasks[[#This Row],[_Res4Text]],FIND("[",Tasks[[#This Row],[_Res4Text]]&amp;"[")-1)),res_Initials,0),0)))</f>
        <v>0</v>
      </c>
      <c r="DL57" s="42" t="str">
        <f aca="false">IF(Tasks[[#This Row],[_Res1Text]]="","",IF(Tasks[[#This Row],[_Res1Row]]&gt;0,INDEX(res_Name,Tasks[[#This Row],[_Res1Row]]),TRIM(LEFT(Tasks[[#This Row],[_Res1Text]],FIND("[",Tasks[[#This Row],[_Res1Text]]&amp;"[")-1))))</f>
        <v/>
      </c>
      <c r="DM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7" s="42" t="n">
        <f aca="false">IF(NOT(Tasks[[#This Row],[_IsLeaf]]=1),0,(Tasks[[#This Row],[_Resource1]]&lt;&gt;"")+(Tasks[[#This Row],[_Res2]]&lt;&gt;"")+(Tasks[[#This Row],[_Res3]]&lt;&gt;"")+(Tasks[[#This Row],[_Res4]]&lt;&gt;""))</f>
        <v>0</v>
      </c>
      <c r="DO57" s="42" t="str">
        <f aca="false">IF(Tasks[[#This Row],[_Res2Text]]="","",IF(Tasks[[#This Row],[_Res2Row]]&gt;0,INDEX(res_Name,Tasks[[#This Row],[_Res2Row]]),TRIM(LEFT(Tasks[[#This Row],[_Res2Text]],FIND("[",Tasks[[#This Row],[_Res2Text]]&amp;"[")-1))))</f>
        <v/>
      </c>
      <c r="DP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7" s="42" t="n">
        <f aca="false">IF(OR(NOT(Tasks[[#This Row],[_IsLeaf]]=1),Tasks[[#This Row],[_Res2Row]]=0),0,N(Tasks[[#This Row],[_Days]])*HoursPerDay*IF(Tasks[[#This Row],[_Res2Units]]="",DefaultUnits,Tasks[[#This Row],[_Res2Units]]))</f>
        <v>0</v>
      </c>
      <c r="DR57" s="42" t="n">
        <f aca="false">IF(AND(AND(Tasks[[#This Row],[_IsLeaf]]=1,Tasks[[#This Row],[_LeafTotalWork]]&gt;0),Tasks[[#This Row],[_Res2Work]]&gt;0),Tasks[[#This Row],[_Res2Work]]/(Tasks[[#This Row],[_FinishWorkday]]-Tasks[[#This Row],[_StartWorkday]]+1),0)</f>
        <v>0</v>
      </c>
      <c r="DS57" s="42" t="n">
        <f aca="false">Tasks[[#This Row],[_Res2WorkPerWD]]*MAX(0,Tasks[[#This Row],[_StartWorkday]]-1)</f>
        <v>0</v>
      </c>
      <c r="DT57" s="42" t="n">
        <f aca="false">Tasks[[#This Row],[_Res2Work]]*Tasks[[#This Row],[_LeafProgress]]</f>
        <v>0</v>
      </c>
      <c r="DU57" s="42" t="str">
        <f aca="false">IF(Tasks[[#This Row],[_Res3Text]]="","",IF(Tasks[[#This Row],[_Res3Row]]&gt;0,INDEX(res_Name,Tasks[[#This Row],[_Res3Row]]),TRIM(LEFT(Tasks[[#This Row],[_Res3Text]],FIND("[",Tasks[[#This Row],[_Res3Text]]&amp;"[")-1))))</f>
        <v/>
      </c>
      <c r="DV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7" s="42" t="n">
        <f aca="false">IF(OR(NOT(Tasks[[#This Row],[_IsLeaf]]=1),Tasks[[#This Row],[_Res3Row]]=0),0,N(Tasks[[#This Row],[_Days]])*HoursPerDay*IF(Tasks[[#This Row],[_Res3Units]]="",DefaultUnits,Tasks[[#This Row],[_Res3Units]]))</f>
        <v>0</v>
      </c>
      <c r="DX57" s="42" t="n">
        <f aca="false">IF(AND(AND(Tasks[[#This Row],[_IsLeaf]]=1,Tasks[[#This Row],[_LeafTotalWork]]&gt;0),Tasks[[#This Row],[_Res3Work]]&gt;0),Tasks[[#This Row],[_Res3Work]]/(Tasks[[#This Row],[_FinishWorkday]]-Tasks[[#This Row],[_StartWorkday]]+1),0)</f>
        <v>0</v>
      </c>
      <c r="DY57" s="42" t="n">
        <f aca="false">Tasks[[#This Row],[_Res3WorkPerWD]]*MAX(0,Tasks[[#This Row],[_StartWorkday]]-1)</f>
        <v>0</v>
      </c>
      <c r="DZ57" s="42" t="n">
        <f aca="false">Tasks[[#This Row],[_Res3Work]]*Tasks[[#This Row],[_LeafProgress]]</f>
        <v>0</v>
      </c>
      <c r="EA57" s="42" t="str">
        <f aca="false">IF(Tasks[[#This Row],[_Res4Text]]="","",IF(Tasks[[#This Row],[_Res4Row]]&gt;0,INDEX(res_Name,Tasks[[#This Row],[_Res4Row]]),TRIM(LEFT(Tasks[[#This Row],[_Res4Text]],FIND("[",Tasks[[#This Row],[_Res4Text]]&amp;"[")-1))))</f>
        <v/>
      </c>
      <c r="EB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7" s="42" t="n">
        <f aca="false">IF(OR(NOT(Tasks[[#This Row],[_IsLeaf]]=1),Tasks[[#This Row],[_Res4Row]]=0),0,N(Tasks[[#This Row],[_Days]])*HoursPerDay*IF(Tasks[[#This Row],[_Res4Units]]="",DefaultUnits,Tasks[[#This Row],[_Res4Units]]))</f>
        <v>0</v>
      </c>
      <c r="ED57" s="42" t="n">
        <f aca="false">IF(AND(AND(Tasks[[#This Row],[_IsLeaf]]=1,Tasks[[#This Row],[_LeafTotalWork]]&gt;0),Tasks[[#This Row],[_Res4Work]]&gt;0),Tasks[[#This Row],[_Res4Work]]/(Tasks[[#This Row],[_FinishWorkday]]-Tasks[[#This Row],[_StartWorkday]]+1),0)</f>
        <v>0</v>
      </c>
      <c r="EE57" s="42" t="n">
        <f aca="false">Tasks[[#This Row],[_Res4WorkPerWD]]*MAX(0,Tasks[[#This Row],[_StartWorkday]]-1)</f>
        <v>0</v>
      </c>
      <c r="EF57" s="42" t="n">
        <f aca="false">Tasks[[#This Row],[_Res4Work]]*Tasks[[#This Row],[_LeafProgress]]</f>
        <v>0</v>
      </c>
      <c r="EG57" s="42" t="n">
        <f aca="false">IF(ISNUMBER(Tasks[[#This Row],[% Complete]]),Tasks[[#This Row],[% Complete]],IF(Tasks[[#This Row],[Stage]]="",0,IFERROR(INDEX(stg_Pct,MATCH(Tasks[[#This Row],[Stage]],stg_Name,0)),0)))</f>
        <v>0</v>
      </c>
      <c r="EH57" s="42" t="n">
        <f aca="false">IF(NOT(Tasks[[#This Row],[_IsLeaf]]=1),0,IF(N(Tasks[[#This Row],[Actual Finish]])&gt;0,1,MIN(1,Tasks[[#This Row],[_Pct]])))</f>
        <v>0</v>
      </c>
      <c r="EI57" s="42" t="n">
        <f aca="false">IF(OR(NOT(Tasks[[#This Row],[_IsLeaf]]=1),Tasks[[#This Row],[_Res1Row]]=0),0,N(Tasks[[#This Row],[_Days]])*HoursPerDay*IF(Tasks[[#This Row],[_Units1]]="",DefaultUnits,Tasks[[#This Row],[_Units1]]))</f>
        <v>0</v>
      </c>
      <c r="EJ57" s="42" t="n">
        <f aca="false">Tasks[[#This Row],[_LeafWork]]+Tasks[[#This Row],[_Res2Work]]+Tasks[[#This Row],[_Res3Work]]+Tasks[[#This Row],[_Res4Work]]</f>
        <v>0</v>
      </c>
      <c r="EK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7" s="42" t="n">
        <f aca="false">IF(NOT(Tasks[[#This Row],[_IsLeaf]]=1),0,MAX(_xlfn.MAXIFS(Tasks[_Row],Tasks[_Pred1UID],Tasks[[#This Row],[UID]]),_xlfn.MAXIFS(Tasks[_Row],Tasks[_Pred2UID],Tasks[[#This Row],[UID]]),_xlfn.MAXIFS(Tasks[_Row],Tasks[_Pred3UID],Tasks[[#This Row],[UID]]),_xlfn.MAXIFS(Tasks[_Row],Tasks[_Pred4UID],Tasks[[#This Row],[UID]])))</f>
        <v>0</v>
      </c>
      <c r="ET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7" s="89" t="str">
        <f aca="false">IF(NOT(Tasks[[#This Row],[_IsLeaf]]=1),"",IF(N(Tasks[[#This Row],[_Days]])&lt;=0,Tasks[[#This Row],[_LeafLateFinish]],WORKDAY.INTL(Tasks[[#This Row],[_LeafLateFinish]],-(Tasks[[#This Row],[_Days]]-1),WorkWeek,Holidays)))</f>
        <v/>
      </c>
      <c r="EW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7" s="88" t="b">
        <f aca="false">AND(Tasks[[#This Row],[_IsLeaf]]=1,Tasks[[#This Row],[_LeafProgress]]&lt;1,N(Tasks[[#This Row],[_LeafTotalSlack]])&lt;=CriticalSlackDays)</f>
        <v>0</v>
      </c>
      <c r="EY57" s="42" t="n">
        <f aca="false">IF(AND(Tasks[[#This Row],[_IsLeaf]]=1,Tasks[[#This Row],[_ConstraintCode]]=1,Tasks[[#This Row],[Mode]]&lt;&gt;"Manual",N(Tasks[[#This Row],[Actual Start]])=0),MAX(0,N(Tasks[[#This Row],[Free Slack]])),0)</f>
        <v>0</v>
      </c>
      <c r="EZ57" s="89" t="str">
        <f aca="false">IF(NOT(Tasks[[#This Row],[_IsLeaf]]=1),"",IF(Tasks[[#This Row],[_AlapShift]]=0,Tasks[[#This Row],[_LeafCalcStart]],WORKDAY.INTL(Tasks[[#This Row],[_LeafCalcStart]],Tasks[[#This Row],[_AlapShift]],WorkWeek,Holidays)))</f>
        <v/>
      </c>
      <c r="FA57" s="89" t="str">
        <f aca="false">IF(NOT(Tasks[[#This Row],[_IsLeaf]]=1),"",IF(Tasks[[#This Row],[_AlapShift]]=0,Tasks[[#This Row],[_LeafCalcFinish]],WORKDAY.INTL(Tasks[[#This Row],[_LeafCalcFinish]],Tasks[[#This Row],[_AlapShift]],WorkWeek,Holidays)))</f>
        <v/>
      </c>
      <c r="FB57" s="89" t="str">
        <f aca="false">IF(NOT(Tasks[[#This Row],[_IsLeaf]]=1),"",IF(Tasks[[#This Row],[_AlapShift]]=0,Tasks[[#This Row],[_LeafFcstStart]],WORKDAY.INTL(Tasks[[#This Row],[_LeafFcstStart]],Tasks[[#This Row],[_AlapShift]],WorkWeek,Holidays)))</f>
        <v/>
      </c>
      <c r="FC57" s="89" t="str">
        <f aca="false">IF(NOT(Tasks[[#This Row],[_IsLeaf]]=1),"",IF(Tasks[[#This Row],[_AlapShift]]=0,Tasks[[#This Row],[_LeafFcstFinish]],WORKDAY.INTL(Tasks[[#This Row],[_LeafFcstFinish]],Tasks[[#This Row],[_AlapShift]],WorkWeek,Holidays)))</f>
        <v/>
      </c>
      <c r="FD57" s="89" t="str">
        <f aca="false">IF(Tasks[[#This Row],[Task Name]]="","",IF(Tasks[[#This Row],[_IsSummary]],MIN(INDEX(Tasks[_ShownCalcStart],Tasks[[#This Row],[_Row]]+1):INDEX(Tasks[_ShownCalcStart],Tasks[[#This Row],[_Row]]+Tasks[[#This Row],[_Descendants]])),Tasks[[#This Row],[_ShownCalcStart]]))</f>
        <v/>
      </c>
      <c r="FE57" s="89" t="str">
        <f aca="false">IF(Tasks[[#This Row],[Task Name]]="","",IF(Tasks[[#This Row],[_IsSummary]],MAX(INDEX(Tasks[_ShownCalcFinish],Tasks[[#This Row],[_Row]]+1):INDEX(Tasks[_ShownCalcFinish],Tasks[[#This Row],[_Row]]+Tasks[[#This Row],[_Descendants]])),Tasks[[#This Row],[_ShownCalcFinish]]))</f>
        <v/>
      </c>
      <c r="FF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7" s="42" t="n">
        <f aca="false">IF(AND(Tasks[[#This Row],[_IsLeaf]]=1,Tasks[[#This Row],[_LeafTotalWork]]&gt;0),NETWORKDAYS.INTL(ProjectStart,Tasks[[#This Row],[_ShownFcstStart]],WorkWeek,Holidays),0)</f>
        <v>0</v>
      </c>
      <c r="FS57" s="42" t="n">
        <f aca="false">IF(AND(Tasks[[#This Row],[_IsLeaf]]=1,Tasks[[#This Row],[_LeafTotalWork]]&gt;0),MAX(Tasks[[#This Row],[_StartWorkday]],NETWORKDAYS.INTL(ProjectStart,Tasks[[#This Row],[_ShownFcstFinish]],WorkWeek,Holidays)),0)</f>
        <v>0</v>
      </c>
      <c r="FT57" s="42" t="n">
        <f aca="false">IF(AND(Tasks[[#This Row],[_IsLeaf]]=1,Tasks[[#This Row],[_LeafTotalWork]]&gt;0),Tasks[[#This Row],[_LeafWork]]/(Tasks[[#This Row],[_FinishWorkday]]-Tasks[[#This Row],[_StartWorkday]]+1),0)</f>
        <v>0</v>
      </c>
      <c r="FU57" s="42" t="n">
        <f aca="false">Tasks[[#This Row],[_WorkPerWorkday]]*(Tasks[[#This Row],[_StartWorkday]]-1)</f>
        <v>-0</v>
      </c>
      <c r="FV57" s="42" t="n">
        <f aca="false">IF(Tasks[[#This Row],[_IsLeaf]]=1,MAX(N(Tasks[[#This Row],[_Days]]),0.1),0)</f>
        <v>0</v>
      </c>
      <c r="FW57" s="42" t="n">
        <f aca="false">Tasks[[#This Row],[_WeightDur]]*Tasks[[#This Row],[_LeafProgress]]</f>
        <v>0</v>
      </c>
      <c r="FX57" s="42" t="n">
        <f aca="false">Tasks[[#This Row],[_WeightDur]]*Tasks[[#This Row],[_PlannedPct]]</f>
        <v>0</v>
      </c>
      <c r="FY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7" s="42" t="str">
        <f aca="false">IF(AND(Tasks[[#This Row],[_IsLeaf]]=1,N(Tasks[[#This Row],[_Days]])=0,Tasks[[#This Row],[_LeafProgress]]&lt;1),Tasks[[#This Row],[_ShownFcstFinish]]+Tasks[[#This Row],[_Row]]/100000,"")</f>
        <v/>
      </c>
      <c r="GA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7" s="42" t="str">
        <f aca="false">IF(Tasks[[#This Row],[Task Name]]="","",LEFT(Tasks[[#This Row],[WBS]],FIND(".",Tasks[[#This Row],[WBS]]&amp;".")-1))</f>
        <v/>
      </c>
      <c r="GC57" s="42" t="str">
        <f aca="false">IF(AND(Tasks[[#This Row],[Task Name]]&lt;&gt;"",Tasks[[#This Row],[_Level]]=1),Tasks[[#This Row],[_Row]],"")</f>
        <v/>
      </c>
      <c r="GD57" s="42" t="str">
        <f aca="false">IF(AND(Tasks[[#This Row],[_IsLeaf]]=1,N(Tasks[[#This Row],[_Days]])=0),Tasks[[#This Row],[Planned Finish]]+Tasks[[#This Row],[_Row]]/100000,"")</f>
        <v/>
      </c>
      <c r="GE57" s="42" t="str">
        <f aca="false">IF(AND(Tasks[[#This Row],[_IsLeaf]]=1,Tasks[[#This Row],[_LeafProgress]]&lt;1,OR(N(Tasks[[#This Row],[Finish Var]])&gt;0,Tasks[[#This Row],[Status]]="Late Start")),MAX(0,Tasks[[#This Row],[Finish Var]])+1-Tasks[[#This Row],[_Row]]/1000000,"")</f>
        <v/>
      </c>
      <c r="GF57" s="42" t="str">
        <f aca="false">IF(AND(Tasks[[#This Row],[_IsLeaf]]=1,N(Tasks[[#This Row],[Actual Start]])=0,Tasks[[#This Row],[_ShownFcstStart]]&gt;=StatusDate,Tasks[[#This Row],[_ShownFcstStart]]&lt;=LookaheadEnd),Tasks[[#This Row],[_ShownFcstStart]]+Tasks[[#This Row],[_Row]]/100000,"")</f>
        <v/>
      </c>
      <c r="GG57" s="42" t="str">
        <f aca="false">IF(AND(Tasks[[#This Row],[_IsLeaf]]=1,Tasks[[#This Row],[_LeafProgress]]&lt;1,Tasks[[#This Row],[_ShownFcstFinish]]&gt;=StatusDate,Tasks[[#This Row],[_ShownFcstFinish]]&lt;=LookaheadEnd),Tasks[[#This Row],[_ShownFcstFinish]]+Tasks[[#This Row],[_Row]]/100000,"")</f>
        <v/>
      </c>
      <c r="GH57" s="42" t="str">
        <f aca="false">IF(Tasks[[#This Row],[_LeafCritical]],Tasks[[#This Row],[_ShownFcstStart]]+Tasks[[#This Row],[_Row]]/100000,"")</f>
        <v/>
      </c>
      <c r="GI57" s="42" t="n">
        <f aca="false">Tasks[[#This Row],[_LeafWork]]*Tasks[[#This Row],[_LeafProgress]]</f>
        <v>0</v>
      </c>
      <c r="GJ57" s="89" t="str">
        <f aca="false">IF(AND(Tasks[[#This Row],[_IsLeaf]]=1,Tasks[[#This Row],[_LeafProgress]]&gt;=1),IF(N(Tasks[[#This Row],[Actual Finish]])&gt;0,Tasks[[#This Row],[Actual Finish]],Tasks[[#This Row],[_ShownFcstFinish]]),"")</f>
        <v/>
      </c>
      <c r="GK57" s="42" t="n">
        <f aca="false">IF(Tasks[[#This Row],[_IsLeaf]]=1,N(Tasks[[#This Row],[Story Points]]),0)</f>
        <v>0</v>
      </c>
      <c r="GL57" s="42" t="str">
        <f aca="false">""</f>
        <v/>
      </c>
      <c r="GM57" s="88" t="b">
        <f aca="false">IF(Tasks[[#This Row],[Task Name]]="",FALSE(),AND(Tasks[[#This Row],[_IsLeaf]]=1,N(Tasks[[#This Row],[_Days]])=0))</f>
        <v>0</v>
      </c>
      <c r="GN57" s="89" t="n">
        <f aca="false">IF(Tasks[[#This Row],[Task Name]]="",0,IF(AND(Tasks[[#This Row],[_IsLeaf]]=1,NOT(Tasks[[#This Row],[_IsMilestone]]),N(Tasks[[#This Row],[Progress]])&gt;0),Tasks[[#This Row],[Start]],0))</f>
        <v>0</v>
      </c>
      <c r="GO57" s="89" t="n">
        <f aca="false">IF(Tasks[[#This Row],[_DoneFrom]]=0,0,IF(Tasks[[#This Row],[Progress]]&gt;=1,Tasks[[#This Row],[Finish]],MAX(Tasks[[#This Row],[_DoneFrom]],Tasks[[#This Row],[Start]]+ROUND((Tasks[[#This Row],[Finish]]-Tasks[[#This Row],[Start]]+1)*Tasks[[#This Row],[Progress]],0)-1)))</f>
        <v>0</v>
      </c>
      <c r="GP57" s="89" t="n">
        <f aca="false">IF(Tasks[[#This Row],[Task Name]]="",0,IF(OR(NOT(Tasks[[#This Row],[_IsLeaf]]=1),Tasks[[#This Row],[_IsMilestone]],N(Tasks[[#This Row],[Progress]])&gt;=1),0,IF(Tasks[[#This Row],[_DoneTo]]&gt;0,Tasks[[#This Row],[_DoneTo]]+1,Tasks[[#This Row],[Start]])))</f>
        <v>0</v>
      </c>
      <c r="GQ57" s="89" t="n">
        <f aca="false">IF(Tasks[[#This Row],[_RemFrom]]=0,0,Tasks[[#This Row],[Finish]])</f>
        <v>0</v>
      </c>
      <c r="GR57" s="88" t="b">
        <f aca="false">IF(Tasks[[#This Row],[Task Name]]="",FALSE(),OR(NOT(BaselineSet),N(Tasks[[#This Row],[Baseline Start]])&gt;0))</f>
        <v>0</v>
      </c>
      <c r="GS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7" s="90" t="str">
        <f aca="false">IF(Tasks[[#This Row],[_IsLeaf]]=1,Tasks[[#This Row],[_Row]],"")</f>
        <v/>
      </c>
      <c r="GW57" s="90" t="str">
        <f aca="false">IFERROR(INDEX(Tasks[UID],SMALL(Tasks[_PickKey],Tasks[[#This Row],[_Row]]))&amp;" "&amp;INDEX(Tasks[Task Name],SMALL(Tasks[_PickKey],Tasks[[#This Row],[_Row]])),"")</f>
        <v/>
      </c>
      <c r="GX57" s="42" t="str">
        <f aca="false">IF(Tasks[[#This Row],[Task Name]]="","",IF(Tasks[[#This Row],[_IsSummary]],NETWORKDAYS.INTL(Tasks[[#This Row],[Start]],Tasks[[#This Row],[Finish]],WorkWeek,Holidays),N(Tasks[[#This Row],[_Days]])))</f>
        <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3"/>
      <c r="U58" s="23"/>
      <c r="V58" s="83"/>
      <c r="W58" s="23"/>
      <c r="X58" s="83"/>
      <c r="Y58" s="23"/>
      <c r="Z58" s="83"/>
      <c r="AA58" s="23"/>
      <c r="AB58" s="23"/>
      <c r="AC58" s="7"/>
      <c r="AD58" s="7"/>
      <c r="AE58" s="62" t="str">
        <f aca="false">IF(Tasks[[#This Row],[Task Name]]="","",IF(Tasks[[#This Row],[_IsSummary]],MIN(INDEX(Tasks[_ShownFcstStart],Tasks[[#This Row],[_Row]]+1):INDEX(Tasks[_ShownFcstStart],Tasks[[#This Row],[_Row]]+Tasks[[#This Row],[_Descendants]])),Tasks[[#This Row],[_ShownFcstStart]]))</f>
        <v/>
      </c>
      <c r="AF58" s="62"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8" s="7"/>
      <c r="AK58" s="22"/>
      <c r="AL58" s="23"/>
      <c r="AM58" s="7"/>
      <c r="AN58" s="46"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2" t="str">
        <f aca="false">IF(Tasks[[#This Row],[Task Name]]="","",IF(N(Tasks[[#This Row],[Baseline Start]])&gt;0,Tasks[[#This Row],[Baseline Start]],Tasks[[#This Row],[_CalcStart]]))</f>
        <v/>
      </c>
      <c r="AR58" s="62" t="str">
        <f aca="false">IF(Tasks[[#This Row],[Task Name]]="","",IF(N(Tasks[[#This Row],[Baseline Finish]])&gt;0,Tasks[[#This Row],[Baseline Finish]],Tasks[[#This Row],[_CalcFinish]]))</f>
        <v/>
      </c>
      <c r="AS58" s="46" t="str">
        <f aca="false">IF(Tasks[[#This Row],[Task Name]]="","",IF(Tasks[[#This Row],[Start]]&gt;=Tasks[[#This Row],[Planned Start]],NETWORKDAYS.INTL(Tasks[[#This Row],[Planned Start]],Tasks[[#This Row],[Start]],WorkWeek,Holidays)-1,1-NETWORKDAYS.INTL(Tasks[[#This Row],[Start]],Tasks[[#This Row],[Planned Start]],WorkWeek,Holidays)))</f>
        <v/>
      </c>
      <c r="AT58" s="62" t="str">
        <f aca="false">IF(Tasks[[#This Row],[Task Name]]="","",IF(Tasks[[#This Row],[_IsSummary]],MIN(INDEX(Tasks[_LeafLateStart],Tasks[[#This Row],[_Row]]+1):INDEX(Tasks[_LeafLateStart],Tasks[[#This Row],[_Row]]+Tasks[[#This Row],[_Descendants]])),Tasks[[#This Row],[_LeafLateStart]]))</f>
        <v/>
      </c>
      <c r="AU58" s="62" t="str">
        <f aca="false">IF(Tasks[[#This Row],[Task Name]]="","",IF(Tasks[[#This Row],[_IsSummary]],MAX(INDEX(Tasks[_LeafLateFinish],Tasks[[#This Row],[_Row]]+1):INDEX(Tasks[_LeafLateFinish],Tasks[[#This Row],[_Row]]+Tasks[[#This Row],[_Descendants]])),Tasks[[#This Row],[_LeafLateFinish]]))</f>
        <v/>
      </c>
      <c r="AV58" s="46"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4"/>
      <c r="BA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5"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6"/>
      <c r="BJ58" s="22"/>
      <c r="BK58" s="46" t="str">
        <f aca="false">IF(OR(Tasks[[#This Row],[Task Name]]="",Tasks[[#This Row],[Baseline Duration]]=""),"",Tasks[[#This Row],[_SpanDays]]-N(Tasks[[#This Row],[Baseline Duration]]))</f>
        <v/>
      </c>
      <c r="BL58" s="85" t="str">
        <f aca="false">IF(OR(Tasks[[#This Row],[Task Name]]="",Tasks[[#This Row],[Baseline Work]]=""),"",Tasks[[#This Row],[Work]]-N(Tasks[[#This Row],[Baseline Work]]))</f>
        <v/>
      </c>
      <c r="BM58" s="62" t="str">
        <f aca="false">IF(Tasks[[#This Row],[Task Name]]="","",IF(OR(TakeBaseline="Yes",N(Tasks[[#This Row],[Baseline Start]])=0),Tasks[[#This Row],[Start]],Tasks[[#This Row],[Baseline Start]]))</f>
        <v/>
      </c>
      <c r="BN58" s="62"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5" t="str">
        <f aca="false">IF(Tasks[[#This Row],[Task Name]]="","",IF(OR(TakeBaseline="Yes",N(Tasks[[#This Row],[Baseline Work]])=0),Tasks[[#This Row],[Work]],Tasks[[#This Row],[Baseline Work]]))</f>
        <v/>
      </c>
      <c r="BQ58" s="7"/>
      <c r="BR58" s="7"/>
      <c r="BS58" s="22"/>
      <c r="BT58" s="87"/>
      <c r="BU58" s="42" t="str">
        <f aca="false">IF(Tasks[[#This Row],[Task Name]]="","",MAX(1,N(Tasks[[#This Row],[Level]])))</f>
        <v/>
      </c>
      <c r="BV58" s="42" t="n">
        <f aca="false">ROW()-ROW(Tasks[[#Headers],[ID]])</f>
        <v>53</v>
      </c>
      <c r="BW58" s="42" t="n">
        <f aca="false">IF(OR(Tasks[[#This Row],[Task Name]]="",Tasks[[#This Row],[_Level]]&lt;=1),0,IFERROR(LOOKUP(2,1/(Tasks[[#Headers],[_Level]]:Tasks[[#This Row],[_Level]]=Tasks[[#This Row],[_Level]]-1),ROW(Tasks[[#Headers],[_Level]]:Tasks[[#This Row],[_Level]])),0))</f>
        <v>0</v>
      </c>
      <c r="BX58" s="42" t="n">
        <f aca="false">IFERROR(N(INDEX(Tasks[_Level],Tasks[[#This Row],[_Row]]+1)),0)</f>
        <v>0</v>
      </c>
      <c r="BY58" s="88" t="b">
        <f aca="false">AND(Tasks[[#This Row],[Task Name]]&lt;&gt;"",Tasks[[#This Row],[_NextLevel]]&gt;Tasks[[#This Row],[_Level]])</f>
        <v>0</v>
      </c>
      <c r="BZ58" s="42" t="n">
        <f aca="false">IF(Tasks[[#This Row],[_IsSummary]],COUNTIF(Tasks[WBS],Tasks[[#This Row],[WBS]]&amp;".*"),0)</f>
        <v>0</v>
      </c>
      <c r="CA58" s="42" t="n">
        <f aca="false">IF(AND(Tasks[[#This Row],[Task Name]]&lt;&gt;"",NOT(Tasks[[#This Row],[_IsSummary]])),1,0)</f>
        <v>0</v>
      </c>
      <c r="CB58" s="42" t="n">
        <f aca="false">IF(N(Tasks[[#This Row],[_Pred1UID]])=0,0,IFERROR(MATCH(Tasks[[#This Row],[_Pred1UID]],Tasks[UID],0),-1))</f>
        <v>0</v>
      </c>
      <c r="CC58" s="42" t="n">
        <f aca="false">IF(N(Tasks[[#This Row],[_Pred2UID]])=0,0,IFERROR(MATCH(Tasks[[#This Row],[_Pred2UID]],Tasks[UID],0),-1))</f>
        <v>0</v>
      </c>
      <c r="CD58" s="42" t="n">
        <f aca="false">IF(N(Tasks[[#This Row],[_Pred3UID]])=0,0,IFERROR(MATCH(Tasks[[#This Row],[_Pred3UID]],Tasks[UID],0),-1))</f>
        <v>0</v>
      </c>
      <c r="CE58" s="42" t="n">
        <f aca="false">IF(N(Tasks[[#This Row],[_Pred4UID]])=0,0,IFERROR(MATCH(Tasks[[#This Row],[_Pred4UID]],Tasks[UID],0),-1))</f>
        <v>0</v>
      </c>
      <c r="CF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8" s="89" t="n">
        <f aca="false">IF(OR(Tasks[[#This Row],[_ConstraintCode]]=2,Tasks[[#This Row],[_ConstraintCode]]=3,Tasks[[#This Row],[_ConstraintCode]]=4,Tasks[[#This Row],[_ConstraintCode]]=6),Tasks[[#This Row],[_ConstraintStart]],0)</f>
        <v>0</v>
      </c>
      <c r="CI58" s="89" t="n">
        <f aca="false">IF(OR(Tasks[[#This Row],[_ConstraintCode]]=2,Tasks[[#This Row],[_ConstraintCode]]=3,Tasks[[#This Row],[_ConstraintCode]]=5,Tasks[[#This Row],[_ConstraintCode]]=7),Tasks[[#This Row],[_ConstraintStart]],2958465)</f>
        <v>2958465</v>
      </c>
      <c r="CJ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8" s="89" t="str">
        <f aca="false">IF(NOT(Tasks[[#This Row],[_IsLeaf]]=1),"",IF(N(Tasks[[#This Row],[_Days]])&lt;=0,Tasks[[#This Row],[_LeafCalcStart]],WORKDAY.INTL(Tasks[[#This Row],[_LeafCalcStart]],Tasks[[#This Row],[_Days]]-1,WorkWeek,Holidays)))</f>
        <v/>
      </c>
      <c r="CL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8" s="42" t="str">
        <f aca="false">IF(Tasks[[#This Row],[_Predecessors]]="","",TRIM(MID(SUBSTITUTE(SUBSTITUTE(SUBSTITUTE(UPPER(Tasks[[#This Row],[_Predecessors]]),";",",")," ",""),",",REPT(" ",99)),1,99)))</f>
        <v/>
      </c>
      <c r="CO58" s="42" t="str">
        <f aca="false">IF(Tasks[[#This Row],[_Pred1Text]]="","",IFERROR(VALUE(LEFT(Tasks[[#This Row],[_Pred1Text]],MIN(FIND("F",Tasks[[#This Row],[_Pred1Text]]&amp;"F"),FIND("S",Tasks[[#This Row],[_Pred1Text]]&amp;"S"),FIND("+",Tasks[[#This Row],[_Pred1Text]]&amp;"+"),FIND("-",Tasks[[#This Row],[_Pred1Text]]&amp;"-"))-1)),""))</f>
        <v/>
      </c>
      <c r="CP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8" s="42" t="str">
        <f aca="false">IF(Tasks[[#This Row],[_Pred1Text]]="","",TRIM(MID(SUBSTITUTE(SUBSTITUTE(SUBSTITUTE(UPPER(Tasks[[#This Row],[_Predecessors]]),";",",")," ",""),",",REPT(" ",99)),100,99)))</f>
        <v/>
      </c>
      <c r="CS58" s="42" t="str">
        <f aca="false">IF(Tasks[[#This Row],[_Pred2Text]]="","",IFERROR(VALUE(LEFT(Tasks[[#This Row],[_Pred2Text]],MIN(FIND("F",Tasks[[#This Row],[_Pred2Text]]&amp;"F"),FIND("S",Tasks[[#This Row],[_Pred2Text]]&amp;"S"),FIND("+",Tasks[[#This Row],[_Pred2Text]]&amp;"+"),FIND("-",Tasks[[#This Row],[_Pred2Text]]&amp;"-"))-1)),""))</f>
        <v/>
      </c>
      <c r="CT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8" s="42" t="str">
        <f aca="false">IF(Tasks[[#This Row],[_Pred2Text]]="","",TRIM(MID(SUBSTITUTE(SUBSTITUTE(SUBSTITUTE(UPPER(Tasks[[#This Row],[_Predecessors]]),";",",")," ",""),",",REPT(" ",99)),199,99)))</f>
        <v/>
      </c>
      <c r="CW58" s="42" t="str">
        <f aca="false">IF(Tasks[[#This Row],[_Pred3Text]]="","",IFERROR(VALUE(LEFT(Tasks[[#This Row],[_Pred3Text]],MIN(FIND("F",Tasks[[#This Row],[_Pred3Text]]&amp;"F"),FIND("S",Tasks[[#This Row],[_Pred3Text]]&amp;"S"),FIND("+",Tasks[[#This Row],[_Pred3Text]]&amp;"+"),FIND("-",Tasks[[#This Row],[_Pred3Text]]&amp;"-"))-1)),""))</f>
        <v/>
      </c>
      <c r="CX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8" s="42" t="str">
        <f aca="false">IF(Tasks[[#This Row],[_Pred3Text]]="","",TRIM(MID(SUBSTITUTE(SUBSTITUTE(SUBSTITUTE(UPPER(Tasks[[#This Row],[_Predecessors]]),";",",")," ",""),",",REPT(" ",99)),298,99)))</f>
        <v/>
      </c>
      <c r="DA58" s="42" t="str">
        <f aca="false">IF(Tasks[[#This Row],[_Pred4Text]]="","",IFERROR(VALUE(LEFT(Tasks[[#This Row],[_Pred4Text]],MIN(FIND("F",Tasks[[#This Row],[_Pred4Text]]&amp;"F"),FIND("S",Tasks[[#This Row],[_Pred4Text]]&amp;"S"),FIND("+",Tasks[[#This Row],[_Pred4Text]]&amp;"+"),FIND("-",Tasks[[#This Row],[_Pred4Text]]&amp;"-"))-1)),""))</f>
        <v/>
      </c>
      <c r="DB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8" s="42" t="str">
        <f aca="false">IF(OR(Tasks[[#This Row],[Task Name]]="",Tasks[[#This Row],[_Resources]]=""),"",TRIM(MID(SUBSTITUTE(Tasks[[#This Row],[_Resources]],",",REPT(" ",99)),1,99)))</f>
        <v/>
      </c>
      <c r="DE58" s="42" t="str">
        <f aca="false">IF(Tasks[[#This Row],[_Res1Text]]="","",TRIM(MID(SUBSTITUTE(Tasks[[#This Row],[_Resources]],",",REPT(" ",99)),100,99)))</f>
        <v/>
      </c>
      <c r="DF58" s="42" t="str">
        <f aca="false">IF(Tasks[[#This Row],[_Res2Text]]="","",TRIM(MID(SUBSTITUTE(Tasks[[#This Row],[_Resources]],",",REPT(" ",99)),199,99)))</f>
        <v/>
      </c>
      <c r="DG58" s="42" t="str">
        <f aca="false">IF(Tasks[[#This Row],[_Res3Text]]="","",TRIM(MID(SUBSTITUTE(Tasks[[#This Row],[_Resources]],",",REPT(" ",99)),298,99)))</f>
        <v/>
      </c>
      <c r="DH58" s="42" t="n">
        <f aca="false">IF(Tasks[[#This Row],[_Res1Text]]="",0,IFERROR(MATCH(TRIM(LEFT(Tasks[[#This Row],[_Res1Text]],FIND("[",Tasks[[#This Row],[_Res1Text]]&amp;"[")-1)),res_Name,0),IFERROR(MATCH(TRIM(LEFT(Tasks[[#This Row],[_Res1Text]],FIND("[",Tasks[[#This Row],[_Res1Text]]&amp;"[")-1)),res_Initials,0),0)))</f>
        <v>0</v>
      </c>
      <c r="DI58" s="42" t="n">
        <f aca="false">IF(Tasks[[#This Row],[_Res2Text]]="",0,IFERROR(MATCH(TRIM(LEFT(Tasks[[#This Row],[_Res2Text]],FIND("[",Tasks[[#This Row],[_Res2Text]]&amp;"[")-1)),res_Name,0),IFERROR(MATCH(TRIM(LEFT(Tasks[[#This Row],[_Res2Text]],FIND("[",Tasks[[#This Row],[_Res2Text]]&amp;"[")-1)),res_Initials,0),0)))</f>
        <v>0</v>
      </c>
      <c r="DJ58" s="42" t="n">
        <f aca="false">IF(Tasks[[#This Row],[_Res3Text]]="",0,IFERROR(MATCH(TRIM(LEFT(Tasks[[#This Row],[_Res3Text]],FIND("[",Tasks[[#This Row],[_Res3Text]]&amp;"[")-1)),res_Name,0),IFERROR(MATCH(TRIM(LEFT(Tasks[[#This Row],[_Res3Text]],FIND("[",Tasks[[#This Row],[_Res3Text]]&amp;"[")-1)),res_Initials,0),0)))</f>
        <v>0</v>
      </c>
      <c r="DK58" s="42" t="n">
        <f aca="false">IF(Tasks[[#This Row],[_Res4Text]]="",0,IFERROR(MATCH(TRIM(LEFT(Tasks[[#This Row],[_Res4Text]],FIND("[",Tasks[[#This Row],[_Res4Text]]&amp;"[")-1)),res_Name,0),IFERROR(MATCH(TRIM(LEFT(Tasks[[#This Row],[_Res4Text]],FIND("[",Tasks[[#This Row],[_Res4Text]]&amp;"[")-1)),res_Initials,0),0)))</f>
        <v>0</v>
      </c>
      <c r="DL58" s="42" t="str">
        <f aca="false">IF(Tasks[[#This Row],[_Res1Text]]="","",IF(Tasks[[#This Row],[_Res1Row]]&gt;0,INDEX(res_Name,Tasks[[#This Row],[_Res1Row]]),TRIM(LEFT(Tasks[[#This Row],[_Res1Text]],FIND("[",Tasks[[#This Row],[_Res1Text]]&amp;"[")-1))))</f>
        <v/>
      </c>
      <c r="DM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8" s="42" t="n">
        <f aca="false">IF(NOT(Tasks[[#This Row],[_IsLeaf]]=1),0,(Tasks[[#This Row],[_Resource1]]&lt;&gt;"")+(Tasks[[#This Row],[_Res2]]&lt;&gt;"")+(Tasks[[#This Row],[_Res3]]&lt;&gt;"")+(Tasks[[#This Row],[_Res4]]&lt;&gt;""))</f>
        <v>0</v>
      </c>
      <c r="DO58" s="42" t="str">
        <f aca="false">IF(Tasks[[#This Row],[_Res2Text]]="","",IF(Tasks[[#This Row],[_Res2Row]]&gt;0,INDEX(res_Name,Tasks[[#This Row],[_Res2Row]]),TRIM(LEFT(Tasks[[#This Row],[_Res2Text]],FIND("[",Tasks[[#This Row],[_Res2Text]]&amp;"[")-1))))</f>
        <v/>
      </c>
      <c r="DP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8" s="42" t="n">
        <f aca="false">IF(OR(NOT(Tasks[[#This Row],[_IsLeaf]]=1),Tasks[[#This Row],[_Res2Row]]=0),0,N(Tasks[[#This Row],[_Days]])*HoursPerDay*IF(Tasks[[#This Row],[_Res2Units]]="",DefaultUnits,Tasks[[#This Row],[_Res2Units]]))</f>
        <v>0</v>
      </c>
      <c r="DR58" s="42" t="n">
        <f aca="false">IF(AND(AND(Tasks[[#This Row],[_IsLeaf]]=1,Tasks[[#This Row],[_LeafTotalWork]]&gt;0),Tasks[[#This Row],[_Res2Work]]&gt;0),Tasks[[#This Row],[_Res2Work]]/(Tasks[[#This Row],[_FinishWorkday]]-Tasks[[#This Row],[_StartWorkday]]+1),0)</f>
        <v>0</v>
      </c>
      <c r="DS58" s="42" t="n">
        <f aca="false">Tasks[[#This Row],[_Res2WorkPerWD]]*MAX(0,Tasks[[#This Row],[_StartWorkday]]-1)</f>
        <v>0</v>
      </c>
      <c r="DT58" s="42" t="n">
        <f aca="false">Tasks[[#This Row],[_Res2Work]]*Tasks[[#This Row],[_LeafProgress]]</f>
        <v>0</v>
      </c>
      <c r="DU58" s="42" t="str">
        <f aca="false">IF(Tasks[[#This Row],[_Res3Text]]="","",IF(Tasks[[#This Row],[_Res3Row]]&gt;0,INDEX(res_Name,Tasks[[#This Row],[_Res3Row]]),TRIM(LEFT(Tasks[[#This Row],[_Res3Text]],FIND("[",Tasks[[#This Row],[_Res3Text]]&amp;"[")-1))))</f>
        <v/>
      </c>
      <c r="DV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8" s="42" t="n">
        <f aca="false">IF(OR(NOT(Tasks[[#This Row],[_IsLeaf]]=1),Tasks[[#This Row],[_Res3Row]]=0),0,N(Tasks[[#This Row],[_Days]])*HoursPerDay*IF(Tasks[[#This Row],[_Res3Units]]="",DefaultUnits,Tasks[[#This Row],[_Res3Units]]))</f>
        <v>0</v>
      </c>
      <c r="DX58" s="42" t="n">
        <f aca="false">IF(AND(AND(Tasks[[#This Row],[_IsLeaf]]=1,Tasks[[#This Row],[_LeafTotalWork]]&gt;0),Tasks[[#This Row],[_Res3Work]]&gt;0),Tasks[[#This Row],[_Res3Work]]/(Tasks[[#This Row],[_FinishWorkday]]-Tasks[[#This Row],[_StartWorkday]]+1),0)</f>
        <v>0</v>
      </c>
      <c r="DY58" s="42" t="n">
        <f aca="false">Tasks[[#This Row],[_Res3WorkPerWD]]*MAX(0,Tasks[[#This Row],[_StartWorkday]]-1)</f>
        <v>0</v>
      </c>
      <c r="DZ58" s="42" t="n">
        <f aca="false">Tasks[[#This Row],[_Res3Work]]*Tasks[[#This Row],[_LeafProgress]]</f>
        <v>0</v>
      </c>
      <c r="EA58" s="42" t="str">
        <f aca="false">IF(Tasks[[#This Row],[_Res4Text]]="","",IF(Tasks[[#This Row],[_Res4Row]]&gt;0,INDEX(res_Name,Tasks[[#This Row],[_Res4Row]]),TRIM(LEFT(Tasks[[#This Row],[_Res4Text]],FIND("[",Tasks[[#This Row],[_Res4Text]]&amp;"[")-1))))</f>
        <v/>
      </c>
      <c r="EB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8" s="42" t="n">
        <f aca="false">IF(OR(NOT(Tasks[[#This Row],[_IsLeaf]]=1),Tasks[[#This Row],[_Res4Row]]=0),0,N(Tasks[[#This Row],[_Days]])*HoursPerDay*IF(Tasks[[#This Row],[_Res4Units]]="",DefaultUnits,Tasks[[#This Row],[_Res4Units]]))</f>
        <v>0</v>
      </c>
      <c r="ED58" s="42" t="n">
        <f aca="false">IF(AND(AND(Tasks[[#This Row],[_IsLeaf]]=1,Tasks[[#This Row],[_LeafTotalWork]]&gt;0),Tasks[[#This Row],[_Res4Work]]&gt;0),Tasks[[#This Row],[_Res4Work]]/(Tasks[[#This Row],[_FinishWorkday]]-Tasks[[#This Row],[_StartWorkday]]+1),0)</f>
        <v>0</v>
      </c>
      <c r="EE58" s="42" t="n">
        <f aca="false">Tasks[[#This Row],[_Res4WorkPerWD]]*MAX(0,Tasks[[#This Row],[_StartWorkday]]-1)</f>
        <v>0</v>
      </c>
      <c r="EF58" s="42" t="n">
        <f aca="false">Tasks[[#This Row],[_Res4Work]]*Tasks[[#This Row],[_LeafProgress]]</f>
        <v>0</v>
      </c>
      <c r="EG58" s="42" t="n">
        <f aca="false">IF(ISNUMBER(Tasks[[#This Row],[% Complete]]),Tasks[[#This Row],[% Complete]],IF(Tasks[[#This Row],[Stage]]="",0,IFERROR(INDEX(stg_Pct,MATCH(Tasks[[#This Row],[Stage]],stg_Name,0)),0)))</f>
        <v>0</v>
      </c>
      <c r="EH58" s="42" t="n">
        <f aca="false">IF(NOT(Tasks[[#This Row],[_IsLeaf]]=1),0,IF(N(Tasks[[#This Row],[Actual Finish]])&gt;0,1,MIN(1,Tasks[[#This Row],[_Pct]])))</f>
        <v>0</v>
      </c>
      <c r="EI58" s="42" t="n">
        <f aca="false">IF(OR(NOT(Tasks[[#This Row],[_IsLeaf]]=1),Tasks[[#This Row],[_Res1Row]]=0),0,N(Tasks[[#This Row],[_Days]])*HoursPerDay*IF(Tasks[[#This Row],[_Units1]]="",DefaultUnits,Tasks[[#This Row],[_Units1]]))</f>
        <v>0</v>
      </c>
      <c r="EJ58" s="42" t="n">
        <f aca="false">Tasks[[#This Row],[_LeafWork]]+Tasks[[#This Row],[_Res2Work]]+Tasks[[#This Row],[_Res3Work]]+Tasks[[#This Row],[_Res4Work]]</f>
        <v>0</v>
      </c>
      <c r="EK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8" s="42" t="n">
        <f aca="false">IF(NOT(Tasks[[#This Row],[_IsLeaf]]=1),0,MAX(_xlfn.MAXIFS(Tasks[_Row],Tasks[_Pred1UID],Tasks[[#This Row],[UID]]),_xlfn.MAXIFS(Tasks[_Row],Tasks[_Pred2UID],Tasks[[#This Row],[UID]]),_xlfn.MAXIFS(Tasks[_Row],Tasks[_Pred3UID],Tasks[[#This Row],[UID]]),_xlfn.MAXIFS(Tasks[_Row],Tasks[_Pred4UID],Tasks[[#This Row],[UID]])))</f>
        <v>0</v>
      </c>
      <c r="ET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8" s="89" t="str">
        <f aca="false">IF(NOT(Tasks[[#This Row],[_IsLeaf]]=1),"",IF(N(Tasks[[#This Row],[_Days]])&lt;=0,Tasks[[#This Row],[_LeafLateFinish]],WORKDAY.INTL(Tasks[[#This Row],[_LeafLateFinish]],-(Tasks[[#This Row],[_Days]]-1),WorkWeek,Holidays)))</f>
        <v/>
      </c>
      <c r="EW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8" s="88" t="b">
        <f aca="false">AND(Tasks[[#This Row],[_IsLeaf]]=1,Tasks[[#This Row],[_LeafProgress]]&lt;1,N(Tasks[[#This Row],[_LeafTotalSlack]])&lt;=CriticalSlackDays)</f>
        <v>0</v>
      </c>
      <c r="EY58" s="42" t="n">
        <f aca="false">IF(AND(Tasks[[#This Row],[_IsLeaf]]=1,Tasks[[#This Row],[_ConstraintCode]]=1,Tasks[[#This Row],[Mode]]&lt;&gt;"Manual",N(Tasks[[#This Row],[Actual Start]])=0),MAX(0,N(Tasks[[#This Row],[Free Slack]])),0)</f>
        <v>0</v>
      </c>
      <c r="EZ58" s="89" t="str">
        <f aca="false">IF(NOT(Tasks[[#This Row],[_IsLeaf]]=1),"",IF(Tasks[[#This Row],[_AlapShift]]=0,Tasks[[#This Row],[_LeafCalcStart]],WORKDAY.INTL(Tasks[[#This Row],[_LeafCalcStart]],Tasks[[#This Row],[_AlapShift]],WorkWeek,Holidays)))</f>
        <v/>
      </c>
      <c r="FA58" s="89" t="str">
        <f aca="false">IF(NOT(Tasks[[#This Row],[_IsLeaf]]=1),"",IF(Tasks[[#This Row],[_AlapShift]]=0,Tasks[[#This Row],[_LeafCalcFinish]],WORKDAY.INTL(Tasks[[#This Row],[_LeafCalcFinish]],Tasks[[#This Row],[_AlapShift]],WorkWeek,Holidays)))</f>
        <v/>
      </c>
      <c r="FB58" s="89" t="str">
        <f aca="false">IF(NOT(Tasks[[#This Row],[_IsLeaf]]=1),"",IF(Tasks[[#This Row],[_AlapShift]]=0,Tasks[[#This Row],[_LeafFcstStart]],WORKDAY.INTL(Tasks[[#This Row],[_LeafFcstStart]],Tasks[[#This Row],[_AlapShift]],WorkWeek,Holidays)))</f>
        <v/>
      </c>
      <c r="FC58" s="89" t="str">
        <f aca="false">IF(NOT(Tasks[[#This Row],[_IsLeaf]]=1),"",IF(Tasks[[#This Row],[_AlapShift]]=0,Tasks[[#This Row],[_LeafFcstFinish]],WORKDAY.INTL(Tasks[[#This Row],[_LeafFcstFinish]],Tasks[[#This Row],[_AlapShift]],WorkWeek,Holidays)))</f>
        <v/>
      </c>
      <c r="FD58" s="89" t="str">
        <f aca="false">IF(Tasks[[#This Row],[Task Name]]="","",IF(Tasks[[#This Row],[_IsSummary]],MIN(INDEX(Tasks[_ShownCalcStart],Tasks[[#This Row],[_Row]]+1):INDEX(Tasks[_ShownCalcStart],Tasks[[#This Row],[_Row]]+Tasks[[#This Row],[_Descendants]])),Tasks[[#This Row],[_ShownCalcStart]]))</f>
        <v/>
      </c>
      <c r="FE58" s="89" t="str">
        <f aca="false">IF(Tasks[[#This Row],[Task Name]]="","",IF(Tasks[[#This Row],[_IsSummary]],MAX(INDEX(Tasks[_ShownCalcFinish],Tasks[[#This Row],[_Row]]+1):INDEX(Tasks[_ShownCalcFinish],Tasks[[#This Row],[_Row]]+Tasks[[#This Row],[_Descendants]])),Tasks[[#This Row],[_ShownCalcFinish]]))</f>
        <v/>
      </c>
      <c r="FF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8" s="42" t="n">
        <f aca="false">IF(AND(Tasks[[#This Row],[_IsLeaf]]=1,Tasks[[#This Row],[_LeafTotalWork]]&gt;0),NETWORKDAYS.INTL(ProjectStart,Tasks[[#This Row],[_ShownFcstStart]],WorkWeek,Holidays),0)</f>
        <v>0</v>
      </c>
      <c r="FS58" s="42" t="n">
        <f aca="false">IF(AND(Tasks[[#This Row],[_IsLeaf]]=1,Tasks[[#This Row],[_LeafTotalWork]]&gt;0),MAX(Tasks[[#This Row],[_StartWorkday]],NETWORKDAYS.INTL(ProjectStart,Tasks[[#This Row],[_ShownFcstFinish]],WorkWeek,Holidays)),0)</f>
        <v>0</v>
      </c>
      <c r="FT58" s="42" t="n">
        <f aca="false">IF(AND(Tasks[[#This Row],[_IsLeaf]]=1,Tasks[[#This Row],[_LeafTotalWork]]&gt;0),Tasks[[#This Row],[_LeafWork]]/(Tasks[[#This Row],[_FinishWorkday]]-Tasks[[#This Row],[_StartWorkday]]+1),0)</f>
        <v>0</v>
      </c>
      <c r="FU58" s="42" t="n">
        <f aca="false">Tasks[[#This Row],[_WorkPerWorkday]]*(Tasks[[#This Row],[_StartWorkday]]-1)</f>
        <v>-0</v>
      </c>
      <c r="FV58" s="42" t="n">
        <f aca="false">IF(Tasks[[#This Row],[_IsLeaf]]=1,MAX(N(Tasks[[#This Row],[_Days]]),0.1),0)</f>
        <v>0</v>
      </c>
      <c r="FW58" s="42" t="n">
        <f aca="false">Tasks[[#This Row],[_WeightDur]]*Tasks[[#This Row],[_LeafProgress]]</f>
        <v>0</v>
      </c>
      <c r="FX58" s="42" t="n">
        <f aca="false">Tasks[[#This Row],[_WeightDur]]*Tasks[[#This Row],[_PlannedPct]]</f>
        <v>0</v>
      </c>
      <c r="FY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8" s="42" t="str">
        <f aca="false">IF(AND(Tasks[[#This Row],[_IsLeaf]]=1,N(Tasks[[#This Row],[_Days]])=0,Tasks[[#This Row],[_LeafProgress]]&lt;1),Tasks[[#This Row],[_ShownFcstFinish]]+Tasks[[#This Row],[_Row]]/100000,"")</f>
        <v/>
      </c>
      <c r="GA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8" s="42" t="str">
        <f aca="false">IF(Tasks[[#This Row],[Task Name]]="","",LEFT(Tasks[[#This Row],[WBS]],FIND(".",Tasks[[#This Row],[WBS]]&amp;".")-1))</f>
        <v/>
      </c>
      <c r="GC58" s="42" t="str">
        <f aca="false">IF(AND(Tasks[[#This Row],[Task Name]]&lt;&gt;"",Tasks[[#This Row],[_Level]]=1),Tasks[[#This Row],[_Row]],"")</f>
        <v/>
      </c>
      <c r="GD58" s="42" t="str">
        <f aca="false">IF(AND(Tasks[[#This Row],[_IsLeaf]]=1,N(Tasks[[#This Row],[_Days]])=0),Tasks[[#This Row],[Planned Finish]]+Tasks[[#This Row],[_Row]]/100000,"")</f>
        <v/>
      </c>
      <c r="GE58" s="42" t="str">
        <f aca="false">IF(AND(Tasks[[#This Row],[_IsLeaf]]=1,Tasks[[#This Row],[_LeafProgress]]&lt;1,OR(N(Tasks[[#This Row],[Finish Var]])&gt;0,Tasks[[#This Row],[Status]]="Late Start")),MAX(0,Tasks[[#This Row],[Finish Var]])+1-Tasks[[#This Row],[_Row]]/1000000,"")</f>
        <v/>
      </c>
      <c r="GF58" s="42" t="str">
        <f aca="false">IF(AND(Tasks[[#This Row],[_IsLeaf]]=1,N(Tasks[[#This Row],[Actual Start]])=0,Tasks[[#This Row],[_ShownFcstStart]]&gt;=StatusDate,Tasks[[#This Row],[_ShownFcstStart]]&lt;=LookaheadEnd),Tasks[[#This Row],[_ShownFcstStart]]+Tasks[[#This Row],[_Row]]/100000,"")</f>
        <v/>
      </c>
      <c r="GG58" s="42" t="str">
        <f aca="false">IF(AND(Tasks[[#This Row],[_IsLeaf]]=1,Tasks[[#This Row],[_LeafProgress]]&lt;1,Tasks[[#This Row],[_ShownFcstFinish]]&gt;=StatusDate,Tasks[[#This Row],[_ShownFcstFinish]]&lt;=LookaheadEnd),Tasks[[#This Row],[_ShownFcstFinish]]+Tasks[[#This Row],[_Row]]/100000,"")</f>
        <v/>
      </c>
      <c r="GH58" s="42" t="str">
        <f aca="false">IF(Tasks[[#This Row],[_LeafCritical]],Tasks[[#This Row],[_ShownFcstStart]]+Tasks[[#This Row],[_Row]]/100000,"")</f>
        <v/>
      </c>
      <c r="GI58" s="42" t="n">
        <f aca="false">Tasks[[#This Row],[_LeafWork]]*Tasks[[#This Row],[_LeafProgress]]</f>
        <v>0</v>
      </c>
      <c r="GJ58" s="89" t="str">
        <f aca="false">IF(AND(Tasks[[#This Row],[_IsLeaf]]=1,Tasks[[#This Row],[_LeafProgress]]&gt;=1),IF(N(Tasks[[#This Row],[Actual Finish]])&gt;0,Tasks[[#This Row],[Actual Finish]],Tasks[[#This Row],[_ShownFcstFinish]]),"")</f>
        <v/>
      </c>
      <c r="GK58" s="42" t="n">
        <f aca="false">IF(Tasks[[#This Row],[_IsLeaf]]=1,N(Tasks[[#This Row],[Story Points]]),0)</f>
        <v>0</v>
      </c>
      <c r="GL58" s="42" t="str">
        <f aca="false">""</f>
        <v/>
      </c>
      <c r="GM58" s="88" t="b">
        <f aca="false">IF(Tasks[[#This Row],[Task Name]]="",FALSE(),AND(Tasks[[#This Row],[_IsLeaf]]=1,N(Tasks[[#This Row],[_Days]])=0))</f>
        <v>0</v>
      </c>
      <c r="GN58" s="89" t="n">
        <f aca="false">IF(Tasks[[#This Row],[Task Name]]="",0,IF(AND(Tasks[[#This Row],[_IsLeaf]]=1,NOT(Tasks[[#This Row],[_IsMilestone]]),N(Tasks[[#This Row],[Progress]])&gt;0),Tasks[[#This Row],[Start]],0))</f>
        <v>0</v>
      </c>
      <c r="GO58" s="89" t="n">
        <f aca="false">IF(Tasks[[#This Row],[_DoneFrom]]=0,0,IF(Tasks[[#This Row],[Progress]]&gt;=1,Tasks[[#This Row],[Finish]],MAX(Tasks[[#This Row],[_DoneFrom]],Tasks[[#This Row],[Start]]+ROUND((Tasks[[#This Row],[Finish]]-Tasks[[#This Row],[Start]]+1)*Tasks[[#This Row],[Progress]],0)-1)))</f>
        <v>0</v>
      </c>
      <c r="GP58" s="89" t="n">
        <f aca="false">IF(Tasks[[#This Row],[Task Name]]="",0,IF(OR(NOT(Tasks[[#This Row],[_IsLeaf]]=1),Tasks[[#This Row],[_IsMilestone]],N(Tasks[[#This Row],[Progress]])&gt;=1),0,IF(Tasks[[#This Row],[_DoneTo]]&gt;0,Tasks[[#This Row],[_DoneTo]]+1,Tasks[[#This Row],[Start]])))</f>
        <v>0</v>
      </c>
      <c r="GQ58" s="89" t="n">
        <f aca="false">IF(Tasks[[#This Row],[_RemFrom]]=0,0,Tasks[[#This Row],[Finish]])</f>
        <v>0</v>
      </c>
      <c r="GR58" s="88" t="b">
        <f aca="false">IF(Tasks[[#This Row],[Task Name]]="",FALSE(),OR(NOT(BaselineSet),N(Tasks[[#This Row],[Baseline Start]])&gt;0))</f>
        <v>0</v>
      </c>
      <c r="GS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8" s="90" t="str">
        <f aca="false">IF(Tasks[[#This Row],[_IsLeaf]]=1,Tasks[[#This Row],[_Row]],"")</f>
        <v/>
      </c>
      <c r="GW58" s="90" t="str">
        <f aca="false">IFERROR(INDEX(Tasks[UID],SMALL(Tasks[_PickKey],Tasks[[#This Row],[_Row]]))&amp;" "&amp;INDEX(Tasks[Task Name],SMALL(Tasks[_PickKey],Tasks[[#This Row],[_Row]])),"")</f>
        <v/>
      </c>
      <c r="GX58" s="42" t="str">
        <f aca="false">IF(Tasks[[#This Row],[Task Name]]="","",IF(Tasks[[#This Row],[_IsSummary]],NETWORKDAYS.INTL(Tasks[[#This Row],[Start]],Tasks[[#This Row],[Finish]],WorkWeek,Holidays),N(Tasks[[#This Row],[_Days]])))</f>
        <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3"/>
      <c r="U59" s="23"/>
      <c r="V59" s="83"/>
      <c r="W59" s="23"/>
      <c r="X59" s="83"/>
      <c r="Y59" s="23"/>
      <c r="Z59" s="83"/>
      <c r="AA59" s="23"/>
      <c r="AB59" s="23"/>
      <c r="AC59" s="7"/>
      <c r="AD59" s="7"/>
      <c r="AE59" s="62" t="str">
        <f aca="false">IF(Tasks[[#This Row],[Task Name]]="","",IF(Tasks[[#This Row],[_IsSummary]],MIN(INDEX(Tasks[_ShownFcstStart],Tasks[[#This Row],[_Row]]+1):INDEX(Tasks[_ShownFcstStart],Tasks[[#This Row],[_Row]]+Tasks[[#This Row],[_Descendants]])),Tasks[[#This Row],[_ShownFcstStart]]))</f>
        <v/>
      </c>
      <c r="AF59" s="62"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9" s="7"/>
      <c r="AK59" s="22"/>
      <c r="AL59" s="23"/>
      <c r="AM59" s="7"/>
      <c r="AN59" s="46"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2" t="str">
        <f aca="false">IF(Tasks[[#This Row],[Task Name]]="","",IF(N(Tasks[[#This Row],[Baseline Start]])&gt;0,Tasks[[#This Row],[Baseline Start]],Tasks[[#This Row],[_CalcStart]]))</f>
        <v/>
      </c>
      <c r="AR59" s="62" t="str">
        <f aca="false">IF(Tasks[[#This Row],[Task Name]]="","",IF(N(Tasks[[#This Row],[Baseline Finish]])&gt;0,Tasks[[#This Row],[Baseline Finish]],Tasks[[#This Row],[_CalcFinish]]))</f>
        <v/>
      </c>
      <c r="AS59" s="46" t="str">
        <f aca="false">IF(Tasks[[#This Row],[Task Name]]="","",IF(Tasks[[#This Row],[Start]]&gt;=Tasks[[#This Row],[Planned Start]],NETWORKDAYS.INTL(Tasks[[#This Row],[Planned Start]],Tasks[[#This Row],[Start]],WorkWeek,Holidays)-1,1-NETWORKDAYS.INTL(Tasks[[#This Row],[Start]],Tasks[[#This Row],[Planned Start]],WorkWeek,Holidays)))</f>
        <v/>
      </c>
      <c r="AT59" s="62" t="str">
        <f aca="false">IF(Tasks[[#This Row],[Task Name]]="","",IF(Tasks[[#This Row],[_IsSummary]],MIN(INDEX(Tasks[_LeafLateStart],Tasks[[#This Row],[_Row]]+1):INDEX(Tasks[_LeafLateStart],Tasks[[#This Row],[_Row]]+Tasks[[#This Row],[_Descendants]])),Tasks[[#This Row],[_LeafLateStart]]))</f>
        <v/>
      </c>
      <c r="AU59" s="62" t="str">
        <f aca="false">IF(Tasks[[#This Row],[Task Name]]="","",IF(Tasks[[#This Row],[_IsSummary]],MAX(INDEX(Tasks[_LeafLateFinish],Tasks[[#This Row],[_Row]]+1):INDEX(Tasks[_LeafLateFinish],Tasks[[#This Row],[_Row]]+Tasks[[#This Row],[_Descendants]])),Tasks[[#This Row],[_LeafLateFinish]]))</f>
        <v/>
      </c>
      <c r="AV59" s="46"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4"/>
      <c r="BA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5"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6"/>
      <c r="BJ59" s="22"/>
      <c r="BK59" s="46" t="str">
        <f aca="false">IF(OR(Tasks[[#This Row],[Task Name]]="",Tasks[[#This Row],[Baseline Duration]]=""),"",Tasks[[#This Row],[_SpanDays]]-N(Tasks[[#This Row],[Baseline Duration]]))</f>
        <v/>
      </c>
      <c r="BL59" s="85" t="str">
        <f aca="false">IF(OR(Tasks[[#This Row],[Task Name]]="",Tasks[[#This Row],[Baseline Work]]=""),"",Tasks[[#This Row],[Work]]-N(Tasks[[#This Row],[Baseline Work]]))</f>
        <v/>
      </c>
      <c r="BM59" s="62" t="str">
        <f aca="false">IF(Tasks[[#This Row],[Task Name]]="","",IF(OR(TakeBaseline="Yes",N(Tasks[[#This Row],[Baseline Start]])=0),Tasks[[#This Row],[Start]],Tasks[[#This Row],[Baseline Start]]))</f>
        <v/>
      </c>
      <c r="BN59" s="62"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5" t="str">
        <f aca="false">IF(Tasks[[#This Row],[Task Name]]="","",IF(OR(TakeBaseline="Yes",N(Tasks[[#This Row],[Baseline Work]])=0),Tasks[[#This Row],[Work]],Tasks[[#This Row],[Baseline Work]]))</f>
        <v/>
      </c>
      <c r="BQ59" s="7"/>
      <c r="BR59" s="7"/>
      <c r="BS59" s="22"/>
      <c r="BT59" s="87"/>
      <c r="BU59" s="42" t="str">
        <f aca="false">IF(Tasks[[#This Row],[Task Name]]="","",MAX(1,N(Tasks[[#This Row],[Level]])))</f>
        <v/>
      </c>
      <c r="BV59" s="42" t="n">
        <f aca="false">ROW()-ROW(Tasks[[#Headers],[ID]])</f>
        <v>54</v>
      </c>
      <c r="BW59" s="42" t="n">
        <f aca="false">IF(OR(Tasks[[#This Row],[Task Name]]="",Tasks[[#This Row],[_Level]]&lt;=1),0,IFERROR(LOOKUP(2,1/(Tasks[[#Headers],[_Level]]:Tasks[[#This Row],[_Level]]=Tasks[[#This Row],[_Level]]-1),ROW(Tasks[[#Headers],[_Level]]:Tasks[[#This Row],[_Level]])),0))</f>
        <v>0</v>
      </c>
      <c r="BX59" s="42" t="n">
        <f aca="false">IFERROR(N(INDEX(Tasks[_Level],Tasks[[#This Row],[_Row]]+1)),0)</f>
        <v>0</v>
      </c>
      <c r="BY59" s="88" t="b">
        <f aca="false">AND(Tasks[[#This Row],[Task Name]]&lt;&gt;"",Tasks[[#This Row],[_NextLevel]]&gt;Tasks[[#This Row],[_Level]])</f>
        <v>0</v>
      </c>
      <c r="BZ59" s="42" t="n">
        <f aca="false">IF(Tasks[[#This Row],[_IsSummary]],COUNTIF(Tasks[WBS],Tasks[[#This Row],[WBS]]&amp;".*"),0)</f>
        <v>0</v>
      </c>
      <c r="CA59" s="42" t="n">
        <f aca="false">IF(AND(Tasks[[#This Row],[Task Name]]&lt;&gt;"",NOT(Tasks[[#This Row],[_IsSummary]])),1,0)</f>
        <v>0</v>
      </c>
      <c r="CB59" s="42" t="n">
        <f aca="false">IF(N(Tasks[[#This Row],[_Pred1UID]])=0,0,IFERROR(MATCH(Tasks[[#This Row],[_Pred1UID]],Tasks[UID],0),-1))</f>
        <v>0</v>
      </c>
      <c r="CC59" s="42" t="n">
        <f aca="false">IF(N(Tasks[[#This Row],[_Pred2UID]])=0,0,IFERROR(MATCH(Tasks[[#This Row],[_Pred2UID]],Tasks[UID],0),-1))</f>
        <v>0</v>
      </c>
      <c r="CD59" s="42" t="n">
        <f aca="false">IF(N(Tasks[[#This Row],[_Pred3UID]])=0,0,IFERROR(MATCH(Tasks[[#This Row],[_Pred3UID]],Tasks[UID],0),-1))</f>
        <v>0</v>
      </c>
      <c r="CE59" s="42" t="n">
        <f aca="false">IF(N(Tasks[[#This Row],[_Pred4UID]])=0,0,IFERROR(MATCH(Tasks[[#This Row],[_Pred4UID]],Tasks[UID],0),-1))</f>
        <v>0</v>
      </c>
      <c r="CF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9" s="89" t="n">
        <f aca="false">IF(OR(Tasks[[#This Row],[_ConstraintCode]]=2,Tasks[[#This Row],[_ConstraintCode]]=3,Tasks[[#This Row],[_ConstraintCode]]=4,Tasks[[#This Row],[_ConstraintCode]]=6),Tasks[[#This Row],[_ConstraintStart]],0)</f>
        <v>0</v>
      </c>
      <c r="CI59" s="89" t="n">
        <f aca="false">IF(OR(Tasks[[#This Row],[_ConstraintCode]]=2,Tasks[[#This Row],[_ConstraintCode]]=3,Tasks[[#This Row],[_ConstraintCode]]=5,Tasks[[#This Row],[_ConstraintCode]]=7),Tasks[[#This Row],[_ConstraintStart]],2958465)</f>
        <v>2958465</v>
      </c>
      <c r="CJ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9" s="89" t="str">
        <f aca="false">IF(NOT(Tasks[[#This Row],[_IsLeaf]]=1),"",IF(N(Tasks[[#This Row],[_Days]])&lt;=0,Tasks[[#This Row],[_LeafCalcStart]],WORKDAY.INTL(Tasks[[#This Row],[_LeafCalcStart]],Tasks[[#This Row],[_Days]]-1,WorkWeek,Holidays)))</f>
        <v/>
      </c>
      <c r="CL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9" s="42" t="str">
        <f aca="false">IF(Tasks[[#This Row],[_Predecessors]]="","",TRIM(MID(SUBSTITUTE(SUBSTITUTE(SUBSTITUTE(UPPER(Tasks[[#This Row],[_Predecessors]]),";",",")," ",""),",",REPT(" ",99)),1,99)))</f>
        <v/>
      </c>
      <c r="CO59" s="42" t="str">
        <f aca="false">IF(Tasks[[#This Row],[_Pred1Text]]="","",IFERROR(VALUE(LEFT(Tasks[[#This Row],[_Pred1Text]],MIN(FIND("F",Tasks[[#This Row],[_Pred1Text]]&amp;"F"),FIND("S",Tasks[[#This Row],[_Pred1Text]]&amp;"S"),FIND("+",Tasks[[#This Row],[_Pred1Text]]&amp;"+"),FIND("-",Tasks[[#This Row],[_Pred1Text]]&amp;"-"))-1)),""))</f>
        <v/>
      </c>
      <c r="CP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9" s="42" t="str">
        <f aca="false">IF(Tasks[[#This Row],[_Pred1Text]]="","",TRIM(MID(SUBSTITUTE(SUBSTITUTE(SUBSTITUTE(UPPER(Tasks[[#This Row],[_Predecessors]]),";",",")," ",""),",",REPT(" ",99)),100,99)))</f>
        <v/>
      </c>
      <c r="CS59" s="42" t="str">
        <f aca="false">IF(Tasks[[#This Row],[_Pred2Text]]="","",IFERROR(VALUE(LEFT(Tasks[[#This Row],[_Pred2Text]],MIN(FIND("F",Tasks[[#This Row],[_Pred2Text]]&amp;"F"),FIND("S",Tasks[[#This Row],[_Pred2Text]]&amp;"S"),FIND("+",Tasks[[#This Row],[_Pred2Text]]&amp;"+"),FIND("-",Tasks[[#This Row],[_Pred2Text]]&amp;"-"))-1)),""))</f>
        <v/>
      </c>
      <c r="CT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9" s="42" t="str">
        <f aca="false">IF(Tasks[[#This Row],[_Pred2Text]]="","",TRIM(MID(SUBSTITUTE(SUBSTITUTE(SUBSTITUTE(UPPER(Tasks[[#This Row],[_Predecessors]]),";",",")," ",""),",",REPT(" ",99)),199,99)))</f>
        <v/>
      </c>
      <c r="CW59" s="42" t="str">
        <f aca="false">IF(Tasks[[#This Row],[_Pred3Text]]="","",IFERROR(VALUE(LEFT(Tasks[[#This Row],[_Pred3Text]],MIN(FIND("F",Tasks[[#This Row],[_Pred3Text]]&amp;"F"),FIND("S",Tasks[[#This Row],[_Pred3Text]]&amp;"S"),FIND("+",Tasks[[#This Row],[_Pred3Text]]&amp;"+"),FIND("-",Tasks[[#This Row],[_Pred3Text]]&amp;"-"))-1)),""))</f>
        <v/>
      </c>
      <c r="CX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9" s="42" t="str">
        <f aca="false">IF(Tasks[[#This Row],[_Pred3Text]]="","",TRIM(MID(SUBSTITUTE(SUBSTITUTE(SUBSTITUTE(UPPER(Tasks[[#This Row],[_Predecessors]]),";",",")," ",""),",",REPT(" ",99)),298,99)))</f>
        <v/>
      </c>
      <c r="DA59" s="42" t="str">
        <f aca="false">IF(Tasks[[#This Row],[_Pred4Text]]="","",IFERROR(VALUE(LEFT(Tasks[[#This Row],[_Pred4Text]],MIN(FIND("F",Tasks[[#This Row],[_Pred4Text]]&amp;"F"),FIND("S",Tasks[[#This Row],[_Pred4Text]]&amp;"S"),FIND("+",Tasks[[#This Row],[_Pred4Text]]&amp;"+"),FIND("-",Tasks[[#This Row],[_Pred4Text]]&amp;"-"))-1)),""))</f>
        <v/>
      </c>
      <c r="DB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9" s="42" t="str">
        <f aca="false">IF(OR(Tasks[[#This Row],[Task Name]]="",Tasks[[#This Row],[_Resources]]=""),"",TRIM(MID(SUBSTITUTE(Tasks[[#This Row],[_Resources]],",",REPT(" ",99)),1,99)))</f>
        <v/>
      </c>
      <c r="DE59" s="42" t="str">
        <f aca="false">IF(Tasks[[#This Row],[_Res1Text]]="","",TRIM(MID(SUBSTITUTE(Tasks[[#This Row],[_Resources]],",",REPT(" ",99)),100,99)))</f>
        <v/>
      </c>
      <c r="DF59" s="42" t="str">
        <f aca="false">IF(Tasks[[#This Row],[_Res2Text]]="","",TRIM(MID(SUBSTITUTE(Tasks[[#This Row],[_Resources]],",",REPT(" ",99)),199,99)))</f>
        <v/>
      </c>
      <c r="DG59" s="42" t="str">
        <f aca="false">IF(Tasks[[#This Row],[_Res3Text]]="","",TRIM(MID(SUBSTITUTE(Tasks[[#This Row],[_Resources]],",",REPT(" ",99)),298,99)))</f>
        <v/>
      </c>
      <c r="DH59" s="42" t="n">
        <f aca="false">IF(Tasks[[#This Row],[_Res1Text]]="",0,IFERROR(MATCH(TRIM(LEFT(Tasks[[#This Row],[_Res1Text]],FIND("[",Tasks[[#This Row],[_Res1Text]]&amp;"[")-1)),res_Name,0),IFERROR(MATCH(TRIM(LEFT(Tasks[[#This Row],[_Res1Text]],FIND("[",Tasks[[#This Row],[_Res1Text]]&amp;"[")-1)),res_Initials,0),0)))</f>
        <v>0</v>
      </c>
      <c r="DI59" s="42" t="n">
        <f aca="false">IF(Tasks[[#This Row],[_Res2Text]]="",0,IFERROR(MATCH(TRIM(LEFT(Tasks[[#This Row],[_Res2Text]],FIND("[",Tasks[[#This Row],[_Res2Text]]&amp;"[")-1)),res_Name,0),IFERROR(MATCH(TRIM(LEFT(Tasks[[#This Row],[_Res2Text]],FIND("[",Tasks[[#This Row],[_Res2Text]]&amp;"[")-1)),res_Initials,0),0)))</f>
        <v>0</v>
      </c>
      <c r="DJ59" s="42" t="n">
        <f aca="false">IF(Tasks[[#This Row],[_Res3Text]]="",0,IFERROR(MATCH(TRIM(LEFT(Tasks[[#This Row],[_Res3Text]],FIND("[",Tasks[[#This Row],[_Res3Text]]&amp;"[")-1)),res_Name,0),IFERROR(MATCH(TRIM(LEFT(Tasks[[#This Row],[_Res3Text]],FIND("[",Tasks[[#This Row],[_Res3Text]]&amp;"[")-1)),res_Initials,0),0)))</f>
        <v>0</v>
      </c>
      <c r="DK59" s="42" t="n">
        <f aca="false">IF(Tasks[[#This Row],[_Res4Text]]="",0,IFERROR(MATCH(TRIM(LEFT(Tasks[[#This Row],[_Res4Text]],FIND("[",Tasks[[#This Row],[_Res4Text]]&amp;"[")-1)),res_Name,0),IFERROR(MATCH(TRIM(LEFT(Tasks[[#This Row],[_Res4Text]],FIND("[",Tasks[[#This Row],[_Res4Text]]&amp;"[")-1)),res_Initials,0),0)))</f>
        <v>0</v>
      </c>
      <c r="DL59" s="42" t="str">
        <f aca="false">IF(Tasks[[#This Row],[_Res1Text]]="","",IF(Tasks[[#This Row],[_Res1Row]]&gt;0,INDEX(res_Name,Tasks[[#This Row],[_Res1Row]]),TRIM(LEFT(Tasks[[#This Row],[_Res1Text]],FIND("[",Tasks[[#This Row],[_Res1Text]]&amp;"[")-1))))</f>
        <v/>
      </c>
      <c r="DM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9" s="42" t="n">
        <f aca="false">IF(NOT(Tasks[[#This Row],[_IsLeaf]]=1),0,(Tasks[[#This Row],[_Resource1]]&lt;&gt;"")+(Tasks[[#This Row],[_Res2]]&lt;&gt;"")+(Tasks[[#This Row],[_Res3]]&lt;&gt;"")+(Tasks[[#This Row],[_Res4]]&lt;&gt;""))</f>
        <v>0</v>
      </c>
      <c r="DO59" s="42" t="str">
        <f aca="false">IF(Tasks[[#This Row],[_Res2Text]]="","",IF(Tasks[[#This Row],[_Res2Row]]&gt;0,INDEX(res_Name,Tasks[[#This Row],[_Res2Row]]),TRIM(LEFT(Tasks[[#This Row],[_Res2Text]],FIND("[",Tasks[[#This Row],[_Res2Text]]&amp;"[")-1))))</f>
        <v/>
      </c>
      <c r="DP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9" s="42" t="n">
        <f aca="false">IF(OR(NOT(Tasks[[#This Row],[_IsLeaf]]=1),Tasks[[#This Row],[_Res2Row]]=0),0,N(Tasks[[#This Row],[_Days]])*HoursPerDay*IF(Tasks[[#This Row],[_Res2Units]]="",DefaultUnits,Tasks[[#This Row],[_Res2Units]]))</f>
        <v>0</v>
      </c>
      <c r="DR59" s="42" t="n">
        <f aca="false">IF(AND(AND(Tasks[[#This Row],[_IsLeaf]]=1,Tasks[[#This Row],[_LeafTotalWork]]&gt;0),Tasks[[#This Row],[_Res2Work]]&gt;0),Tasks[[#This Row],[_Res2Work]]/(Tasks[[#This Row],[_FinishWorkday]]-Tasks[[#This Row],[_StartWorkday]]+1),0)</f>
        <v>0</v>
      </c>
      <c r="DS59" s="42" t="n">
        <f aca="false">Tasks[[#This Row],[_Res2WorkPerWD]]*MAX(0,Tasks[[#This Row],[_StartWorkday]]-1)</f>
        <v>0</v>
      </c>
      <c r="DT59" s="42" t="n">
        <f aca="false">Tasks[[#This Row],[_Res2Work]]*Tasks[[#This Row],[_LeafProgress]]</f>
        <v>0</v>
      </c>
      <c r="DU59" s="42" t="str">
        <f aca="false">IF(Tasks[[#This Row],[_Res3Text]]="","",IF(Tasks[[#This Row],[_Res3Row]]&gt;0,INDEX(res_Name,Tasks[[#This Row],[_Res3Row]]),TRIM(LEFT(Tasks[[#This Row],[_Res3Text]],FIND("[",Tasks[[#This Row],[_Res3Text]]&amp;"[")-1))))</f>
        <v/>
      </c>
      <c r="DV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9" s="42" t="n">
        <f aca="false">IF(OR(NOT(Tasks[[#This Row],[_IsLeaf]]=1),Tasks[[#This Row],[_Res3Row]]=0),0,N(Tasks[[#This Row],[_Days]])*HoursPerDay*IF(Tasks[[#This Row],[_Res3Units]]="",DefaultUnits,Tasks[[#This Row],[_Res3Units]]))</f>
        <v>0</v>
      </c>
      <c r="DX59" s="42" t="n">
        <f aca="false">IF(AND(AND(Tasks[[#This Row],[_IsLeaf]]=1,Tasks[[#This Row],[_LeafTotalWork]]&gt;0),Tasks[[#This Row],[_Res3Work]]&gt;0),Tasks[[#This Row],[_Res3Work]]/(Tasks[[#This Row],[_FinishWorkday]]-Tasks[[#This Row],[_StartWorkday]]+1),0)</f>
        <v>0</v>
      </c>
      <c r="DY59" s="42" t="n">
        <f aca="false">Tasks[[#This Row],[_Res3WorkPerWD]]*MAX(0,Tasks[[#This Row],[_StartWorkday]]-1)</f>
        <v>0</v>
      </c>
      <c r="DZ59" s="42" t="n">
        <f aca="false">Tasks[[#This Row],[_Res3Work]]*Tasks[[#This Row],[_LeafProgress]]</f>
        <v>0</v>
      </c>
      <c r="EA59" s="42" t="str">
        <f aca="false">IF(Tasks[[#This Row],[_Res4Text]]="","",IF(Tasks[[#This Row],[_Res4Row]]&gt;0,INDEX(res_Name,Tasks[[#This Row],[_Res4Row]]),TRIM(LEFT(Tasks[[#This Row],[_Res4Text]],FIND("[",Tasks[[#This Row],[_Res4Text]]&amp;"[")-1))))</f>
        <v/>
      </c>
      <c r="EB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9" s="42" t="n">
        <f aca="false">IF(OR(NOT(Tasks[[#This Row],[_IsLeaf]]=1),Tasks[[#This Row],[_Res4Row]]=0),0,N(Tasks[[#This Row],[_Days]])*HoursPerDay*IF(Tasks[[#This Row],[_Res4Units]]="",DefaultUnits,Tasks[[#This Row],[_Res4Units]]))</f>
        <v>0</v>
      </c>
      <c r="ED59" s="42" t="n">
        <f aca="false">IF(AND(AND(Tasks[[#This Row],[_IsLeaf]]=1,Tasks[[#This Row],[_LeafTotalWork]]&gt;0),Tasks[[#This Row],[_Res4Work]]&gt;0),Tasks[[#This Row],[_Res4Work]]/(Tasks[[#This Row],[_FinishWorkday]]-Tasks[[#This Row],[_StartWorkday]]+1),0)</f>
        <v>0</v>
      </c>
      <c r="EE59" s="42" t="n">
        <f aca="false">Tasks[[#This Row],[_Res4WorkPerWD]]*MAX(0,Tasks[[#This Row],[_StartWorkday]]-1)</f>
        <v>0</v>
      </c>
      <c r="EF59" s="42" t="n">
        <f aca="false">Tasks[[#This Row],[_Res4Work]]*Tasks[[#This Row],[_LeafProgress]]</f>
        <v>0</v>
      </c>
      <c r="EG59" s="42" t="n">
        <f aca="false">IF(ISNUMBER(Tasks[[#This Row],[% Complete]]),Tasks[[#This Row],[% Complete]],IF(Tasks[[#This Row],[Stage]]="",0,IFERROR(INDEX(stg_Pct,MATCH(Tasks[[#This Row],[Stage]],stg_Name,0)),0)))</f>
        <v>0</v>
      </c>
      <c r="EH59" s="42" t="n">
        <f aca="false">IF(NOT(Tasks[[#This Row],[_IsLeaf]]=1),0,IF(N(Tasks[[#This Row],[Actual Finish]])&gt;0,1,MIN(1,Tasks[[#This Row],[_Pct]])))</f>
        <v>0</v>
      </c>
      <c r="EI59" s="42" t="n">
        <f aca="false">IF(OR(NOT(Tasks[[#This Row],[_IsLeaf]]=1),Tasks[[#This Row],[_Res1Row]]=0),0,N(Tasks[[#This Row],[_Days]])*HoursPerDay*IF(Tasks[[#This Row],[_Units1]]="",DefaultUnits,Tasks[[#This Row],[_Units1]]))</f>
        <v>0</v>
      </c>
      <c r="EJ59" s="42" t="n">
        <f aca="false">Tasks[[#This Row],[_LeafWork]]+Tasks[[#This Row],[_Res2Work]]+Tasks[[#This Row],[_Res3Work]]+Tasks[[#This Row],[_Res4Work]]</f>
        <v>0</v>
      </c>
      <c r="EK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9" s="42" t="n">
        <f aca="false">IF(NOT(Tasks[[#This Row],[_IsLeaf]]=1),0,MAX(_xlfn.MAXIFS(Tasks[_Row],Tasks[_Pred1UID],Tasks[[#This Row],[UID]]),_xlfn.MAXIFS(Tasks[_Row],Tasks[_Pred2UID],Tasks[[#This Row],[UID]]),_xlfn.MAXIFS(Tasks[_Row],Tasks[_Pred3UID],Tasks[[#This Row],[UID]]),_xlfn.MAXIFS(Tasks[_Row],Tasks[_Pred4UID],Tasks[[#This Row],[UID]])))</f>
        <v>0</v>
      </c>
      <c r="ET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9" s="89" t="str">
        <f aca="false">IF(NOT(Tasks[[#This Row],[_IsLeaf]]=1),"",IF(N(Tasks[[#This Row],[_Days]])&lt;=0,Tasks[[#This Row],[_LeafLateFinish]],WORKDAY.INTL(Tasks[[#This Row],[_LeafLateFinish]],-(Tasks[[#This Row],[_Days]]-1),WorkWeek,Holidays)))</f>
        <v/>
      </c>
      <c r="EW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9" s="88" t="b">
        <f aca="false">AND(Tasks[[#This Row],[_IsLeaf]]=1,Tasks[[#This Row],[_LeafProgress]]&lt;1,N(Tasks[[#This Row],[_LeafTotalSlack]])&lt;=CriticalSlackDays)</f>
        <v>0</v>
      </c>
      <c r="EY59" s="42" t="n">
        <f aca="false">IF(AND(Tasks[[#This Row],[_IsLeaf]]=1,Tasks[[#This Row],[_ConstraintCode]]=1,Tasks[[#This Row],[Mode]]&lt;&gt;"Manual",N(Tasks[[#This Row],[Actual Start]])=0),MAX(0,N(Tasks[[#This Row],[Free Slack]])),0)</f>
        <v>0</v>
      </c>
      <c r="EZ59" s="89" t="str">
        <f aca="false">IF(NOT(Tasks[[#This Row],[_IsLeaf]]=1),"",IF(Tasks[[#This Row],[_AlapShift]]=0,Tasks[[#This Row],[_LeafCalcStart]],WORKDAY.INTL(Tasks[[#This Row],[_LeafCalcStart]],Tasks[[#This Row],[_AlapShift]],WorkWeek,Holidays)))</f>
        <v/>
      </c>
      <c r="FA59" s="89" t="str">
        <f aca="false">IF(NOT(Tasks[[#This Row],[_IsLeaf]]=1),"",IF(Tasks[[#This Row],[_AlapShift]]=0,Tasks[[#This Row],[_LeafCalcFinish]],WORKDAY.INTL(Tasks[[#This Row],[_LeafCalcFinish]],Tasks[[#This Row],[_AlapShift]],WorkWeek,Holidays)))</f>
        <v/>
      </c>
      <c r="FB59" s="89" t="str">
        <f aca="false">IF(NOT(Tasks[[#This Row],[_IsLeaf]]=1),"",IF(Tasks[[#This Row],[_AlapShift]]=0,Tasks[[#This Row],[_LeafFcstStart]],WORKDAY.INTL(Tasks[[#This Row],[_LeafFcstStart]],Tasks[[#This Row],[_AlapShift]],WorkWeek,Holidays)))</f>
        <v/>
      </c>
      <c r="FC59" s="89" t="str">
        <f aca="false">IF(NOT(Tasks[[#This Row],[_IsLeaf]]=1),"",IF(Tasks[[#This Row],[_AlapShift]]=0,Tasks[[#This Row],[_LeafFcstFinish]],WORKDAY.INTL(Tasks[[#This Row],[_LeafFcstFinish]],Tasks[[#This Row],[_AlapShift]],WorkWeek,Holidays)))</f>
        <v/>
      </c>
      <c r="FD59" s="89" t="str">
        <f aca="false">IF(Tasks[[#This Row],[Task Name]]="","",IF(Tasks[[#This Row],[_IsSummary]],MIN(INDEX(Tasks[_ShownCalcStart],Tasks[[#This Row],[_Row]]+1):INDEX(Tasks[_ShownCalcStart],Tasks[[#This Row],[_Row]]+Tasks[[#This Row],[_Descendants]])),Tasks[[#This Row],[_ShownCalcStart]]))</f>
        <v/>
      </c>
      <c r="FE59" s="89" t="str">
        <f aca="false">IF(Tasks[[#This Row],[Task Name]]="","",IF(Tasks[[#This Row],[_IsSummary]],MAX(INDEX(Tasks[_ShownCalcFinish],Tasks[[#This Row],[_Row]]+1):INDEX(Tasks[_ShownCalcFinish],Tasks[[#This Row],[_Row]]+Tasks[[#This Row],[_Descendants]])),Tasks[[#This Row],[_ShownCalcFinish]]))</f>
        <v/>
      </c>
      <c r="FF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9" s="42" t="n">
        <f aca="false">IF(AND(Tasks[[#This Row],[_IsLeaf]]=1,Tasks[[#This Row],[_LeafTotalWork]]&gt;0),NETWORKDAYS.INTL(ProjectStart,Tasks[[#This Row],[_ShownFcstStart]],WorkWeek,Holidays),0)</f>
        <v>0</v>
      </c>
      <c r="FS59" s="42" t="n">
        <f aca="false">IF(AND(Tasks[[#This Row],[_IsLeaf]]=1,Tasks[[#This Row],[_LeafTotalWork]]&gt;0),MAX(Tasks[[#This Row],[_StartWorkday]],NETWORKDAYS.INTL(ProjectStart,Tasks[[#This Row],[_ShownFcstFinish]],WorkWeek,Holidays)),0)</f>
        <v>0</v>
      </c>
      <c r="FT59" s="42" t="n">
        <f aca="false">IF(AND(Tasks[[#This Row],[_IsLeaf]]=1,Tasks[[#This Row],[_LeafTotalWork]]&gt;0),Tasks[[#This Row],[_LeafWork]]/(Tasks[[#This Row],[_FinishWorkday]]-Tasks[[#This Row],[_StartWorkday]]+1),0)</f>
        <v>0</v>
      </c>
      <c r="FU59" s="42" t="n">
        <f aca="false">Tasks[[#This Row],[_WorkPerWorkday]]*(Tasks[[#This Row],[_StartWorkday]]-1)</f>
        <v>-0</v>
      </c>
      <c r="FV59" s="42" t="n">
        <f aca="false">IF(Tasks[[#This Row],[_IsLeaf]]=1,MAX(N(Tasks[[#This Row],[_Days]]),0.1),0)</f>
        <v>0</v>
      </c>
      <c r="FW59" s="42" t="n">
        <f aca="false">Tasks[[#This Row],[_WeightDur]]*Tasks[[#This Row],[_LeafProgress]]</f>
        <v>0</v>
      </c>
      <c r="FX59" s="42" t="n">
        <f aca="false">Tasks[[#This Row],[_WeightDur]]*Tasks[[#This Row],[_PlannedPct]]</f>
        <v>0</v>
      </c>
      <c r="FY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9" s="42" t="str">
        <f aca="false">IF(AND(Tasks[[#This Row],[_IsLeaf]]=1,N(Tasks[[#This Row],[_Days]])=0,Tasks[[#This Row],[_LeafProgress]]&lt;1),Tasks[[#This Row],[_ShownFcstFinish]]+Tasks[[#This Row],[_Row]]/100000,"")</f>
        <v/>
      </c>
      <c r="GA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9" s="42" t="str">
        <f aca="false">IF(Tasks[[#This Row],[Task Name]]="","",LEFT(Tasks[[#This Row],[WBS]],FIND(".",Tasks[[#This Row],[WBS]]&amp;".")-1))</f>
        <v/>
      </c>
      <c r="GC59" s="42" t="str">
        <f aca="false">IF(AND(Tasks[[#This Row],[Task Name]]&lt;&gt;"",Tasks[[#This Row],[_Level]]=1),Tasks[[#This Row],[_Row]],"")</f>
        <v/>
      </c>
      <c r="GD59" s="42" t="str">
        <f aca="false">IF(AND(Tasks[[#This Row],[_IsLeaf]]=1,N(Tasks[[#This Row],[_Days]])=0),Tasks[[#This Row],[Planned Finish]]+Tasks[[#This Row],[_Row]]/100000,"")</f>
        <v/>
      </c>
      <c r="GE59" s="42" t="str">
        <f aca="false">IF(AND(Tasks[[#This Row],[_IsLeaf]]=1,Tasks[[#This Row],[_LeafProgress]]&lt;1,OR(N(Tasks[[#This Row],[Finish Var]])&gt;0,Tasks[[#This Row],[Status]]="Late Start")),MAX(0,Tasks[[#This Row],[Finish Var]])+1-Tasks[[#This Row],[_Row]]/1000000,"")</f>
        <v/>
      </c>
      <c r="GF59" s="42" t="str">
        <f aca="false">IF(AND(Tasks[[#This Row],[_IsLeaf]]=1,N(Tasks[[#This Row],[Actual Start]])=0,Tasks[[#This Row],[_ShownFcstStart]]&gt;=StatusDate,Tasks[[#This Row],[_ShownFcstStart]]&lt;=LookaheadEnd),Tasks[[#This Row],[_ShownFcstStart]]+Tasks[[#This Row],[_Row]]/100000,"")</f>
        <v/>
      </c>
      <c r="GG59" s="42" t="str">
        <f aca="false">IF(AND(Tasks[[#This Row],[_IsLeaf]]=1,Tasks[[#This Row],[_LeafProgress]]&lt;1,Tasks[[#This Row],[_ShownFcstFinish]]&gt;=StatusDate,Tasks[[#This Row],[_ShownFcstFinish]]&lt;=LookaheadEnd),Tasks[[#This Row],[_ShownFcstFinish]]+Tasks[[#This Row],[_Row]]/100000,"")</f>
        <v/>
      </c>
      <c r="GH59" s="42" t="str">
        <f aca="false">IF(Tasks[[#This Row],[_LeafCritical]],Tasks[[#This Row],[_ShownFcstStart]]+Tasks[[#This Row],[_Row]]/100000,"")</f>
        <v/>
      </c>
      <c r="GI59" s="42" t="n">
        <f aca="false">Tasks[[#This Row],[_LeafWork]]*Tasks[[#This Row],[_LeafProgress]]</f>
        <v>0</v>
      </c>
      <c r="GJ59" s="89" t="str">
        <f aca="false">IF(AND(Tasks[[#This Row],[_IsLeaf]]=1,Tasks[[#This Row],[_LeafProgress]]&gt;=1),IF(N(Tasks[[#This Row],[Actual Finish]])&gt;0,Tasks[[#This Row],[Actual Finish]],Tasks[[#This Row],[_ShownFcstFinish]]),"")</f>
        <v/>
      </c>
      <c r="GK59" s="42" t="n">
        <f aca="false">IF(Tasks[[#This Row],[_IsLeaf]]=1,N(Tasks[[#This Row],[Story Points]]),0)</f>
        <v>0</v>
      </c>
      <c r="GL59" s="42" t="str">
        <f aca="false">""</f>
        <v/>
      </c>
      <c r="GM59" s="88" t="b">
        <f aca="false">IF(Tasks[[#This Row],[Task Name]]="",FALSE(),AND(Tasks[[#This Row],[_IsLeaf]]=1,N(Tasks[[#This Row],[_Days]])=0))</f>
        <v>0</v>
      </c>
      <c r="GN59" s="89" t="n">
        <f aca="false">IF(Tasks[[#This Row],[Task Name]]="",0,IF(AND(Tasks[[#This Row],[_IsLeaf]]=1,NOT(Tasks[[#This Row],[_IsMilestone]]),N(Tasks[[#This Row],[Progress]])&gt;0),Tasks[[#This Row],[Start]],0))</f>
        <v>0</v>
      </c>
      <c r="GO59" s="89" t="n">
        <f aca="false">IF(Tasks[[#This Row],[_DoneFrom]]=0,0,IF(Tasks[[#This Row],[Progress]]&gt;=1,Tasks[[#This Row],[Finish]],MAX(Tasks[[#This Row],[_DoneFrom]],Tasks[[#This Row],[Start]]+ROUND((Tasks[[#This Row],[Finish]]-Tasks[[#This Row],[Start]]+1)*Tasks[[#This Row],[Progress]],0)-1)))</f>
        <v>0</v>
      </c>
      <c r="GP59" s="89" t="n">
        <f aca="false">IF(Tasks[[#This Row],[Task Name]]="",0,IF(OR(NOT(Tasks[[#This Row],[_IsLeaf]]=1),Tasks[[#This Row],[_IsMilestone]],N(Tasks[[#This Row],[Progress]])&gt;=1),0,IF(Tasks[[#This Row],[_DoneTo]]&gt;0,Tasks[[#This Row],[_DoneTo]]+1,Tasks[[#This Row],[Start]])))</f>
        <v>0</v>
      </c>
      <c r="GQ59" s="89" t="n">
        <f aca="false">IF(Tasks[[#This Row],[_RemFrom]]=0,0,Tasks[[#This Row],[Finish]])</f>
        <v>0</v>
      </c>
      <c r="GR59" s="88" t="b">
        <f aca="false">IF(Tasks[[#This Row],[Task Name]]="",FALSE(),OR(NOT(BaselineSet),N(Tasks[[#This Row],[Baseline Start]])&gt;0))</f>
        <v>0</v>
      </c>
      <c r="GS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9" s="90" t="str">
        <f aca="false">IF(Tasks[[#This Row],[_IsLeaf]]=1,Tasks[[#This Row],[_Row]],"")</f>
        <v/>
      </c>
      <c r="GW59" s="90" t="str">
        <f aca="false">IFERROR(INDEX(Tasks[UID],SMALL(Tasks[_PickKey],Tasks[[#This Row],[_Row]]))&amp;" "&amp;INDEX(Tasks[Task Name],SMALL(Tasks[_PickKey],Tasks[[#This Row],[_Row]])),"")</f>
        <v/>
      </c>
      <c r="GX59" s="42" t="str">
        <f aca="false">IF(Tasks[[#This Row],[Task Name]]="","",IF(Tasks[[#This Row],[_IsSummary]],NETWORKDAYS.INTL(Tasks[[#This Row],[Start]],Tasks[[#This Row],[Finish]],WorkWeek,Holidays),N(Tasks[[#This Row],[_Days]])))</f>
        <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3"/>
      <c r="U60" s="23"/>
      <c r="V60" s="83"/>
      <c r="W60" s="23"/>
      <c r="X60" s="83"/>
      <c r="Y60" s="23"/>
      <c r="Z60" s="83"/>
      <c r="AA60" s="23"/>
      <c r="AB60" s="23"/>
      <c r="AC60" s="7"/>
      <c r="AD60" s="7"/>
      <c r="AE60" s="62" t="str">
        <f aca="false">IF(Tasks[[#This Row],[Task Name]]="","",IF(Tasks[[#This Row],[_IsSummary]],MIN(INDEX(Tasks[_ShownFcstStart],Tasks[[#This Row],[_Row]]+1):INDEX(Tasks[_ShownFcstStart],Tasks[[#This Row],[_Row]]+Tasks[[#This Row],[_Descendants]])),Tasks[[#This Row],[_ShownFcstStart]]))</f>
        <v/>
      </c>
      <c r="AF60" s="62"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0" s="7"/>
      <c r="AK60" s="22"/>
      <c r="AL60" s="23"/>
      <c r="AM60" s="7"/>
      <c r="AN60" s="46"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2" t="str">
        <f aca="false">IF(Tasks[[#This Row],[Task Name]]="","",IF(N(Tasks[[#This Row],[Baseline Start]])&gt;0,Tasks[[#This Row],[Baseline Start]],Tasks[[#This Row],[_CalcStart]]))</f>
        <v/>
      </c>
      <c r="AR60" s="62" t="str">
        <f aca="false">IF(Tasks[[#This Row],[Task Name]]="","",IF(N(Tasks[[#This Row],[Baseline Finish]])&gt;0,Tasks[[#This Row],[Baseline Finish]],Tasks[[#This Row],[_CalcFinish]]))</f>
        <v/>
      </c>
      <c r="AS60" s="46" t="str">
        <f aca="false">IF(Tasks[[#This Row],[Task Name]]="","",IF(Tasks[[#This Row],[Start]]&gt;=Tasks[[#This Row],[Planned Start]],NETWORKDAYS.INTL(Tasks[[#This Row],[Planned Start]],Tasks[[#This Row],[Start]],WorkWeek,Holidays)-1,1-NETWORKDAYS.INTL(Tasks[[#This Row],[Start]],Tasks[[#This Row],[Planned Start]],WorkWeek,Holidays)))</f>
        <v/>
      </c>
      <c r="AT60" s="62" t="str">
        <f aca="false">IF(Tasks[[#This Row],[Task Name]]="","",IF(Tasks[[#This Row],[_IsSummary]],MIN(INDEX(Tasks[_LeafLateStart],Tasks[[#This Row],[_Row]]+1):INDEX(Tasks[_LeafLateStart],Tasks[[#This Row],[_Row]]+Tasks[[#This Row],[_Descendants]])),Tasks[[#This Row],[_LeafLateStart]]))</f>
        <v/>
      </c>
      <c r="AU60" s="62" t="str">
        <f aca="false">IF(Tasks[[#This Row],[Task Name]]="","",IF(Tasks[[#This Row],[_IsSummary]],MAX(INDEX(Tasks[_LeafLateFinish],Tasks[[#This Row],[_Row]]+1):INDEX(Tasks[_LeafLateFinish],Tasks[[#This Row],[_Row]]+Tasks[[#This Row],[_Descendants]])),Tasks[[#This Row],[_LeafLateFinish]]))</f>
        <v/>
      </c>
      <c r="AV60" s="46"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4"/>
      <c r="BA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5"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6"/>
      <c r="BJ60" s="22"/>
      <c r="BK60" s="46" t="str">
        <f aca="false">IF(OR(Tasks[[#This Row],[Task Name]]="",Tasks[[#This Row],[Baseline Duration]]=""),"",Tasks[[#This Row],[_SpanDays]]-N(Tasks[[#This Row],[Baseline Duration]]))</f>
        <v/>
      </c>
      <c r="BL60" s="85" t="str">
        <f aca="false">IF(OR(Tasks[[#This Row],[Task Name]]="",Tasks[[#This Row],[Baseline Work]]=""),"",Tasks[[#This Row],[Work]]-N(Tasks[[#This Row],[Baseline Work]]))</f>
        <v/>
      </c>
      <c r="BM60" s="62" t="str">
        <f aca="false">IF(Tasks[[#This Row],[Task Name]]="","",IF(OR(TakeBaseline="Yes",N(Tasks[[#This Row],[Baseline Start]])=0),Tasks[[#This Row],[Start]],Tasks[[#This Row],[Baseline Start]]))</f>
        <v/>
      </c>
      <c r="BN60" s="62"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5" t="str">
        <f aca="false">IF(Tasks[[#This Row],[Task Name]]="","",IF(OR(TakeBaseline="Yes",N(Tasks[[#This Row],[Baseline Work]])=0),Tasks[[#This Row],[Work]],Tasks[[#This Row],[Baseline Work]]))</f>
        <v/>
      </c>
      <c r="BQ60" s="7"/>
      <c r="BR60" s="7"/>
      <c r="BS60" s="22"/>
      <c r="BT60" s="87"/>
      <c r="BU60" s="42" t="str">
        <f aca="false">IF(Tasks[[#This Row],[Task Name]]="","",MAX(1,N(Tasks[[#This Row],[Level]])))</f>
        <v/>
      </c>
      <c r="BV60" s="42" t="n">
        <f aca="false">ROW()-ROW(Tasks[[#Headers],[ID]])</f>
        <v>55</v>
      </c>
      <c r="BW60" s="42" t="n">
        <f aca="false">IF(OR(Tasks[[#This Row],[Task Name]]="",Tasks[[#This Row],[_Level]]&lt;=1),0,IFERROR(LOOKUP(2,1/(Tasks[[#Headers],[_Level]]:Tasks[[#This Row],[_Level]]=Tasks[[#This Row],[_Level]]-1),ROW(Tasks[[#Headers],[_Level]]:Tasks[[#This Row],[_Level]])),0))</f>
        <v>0</v>
      </c>
      <c r="BX60" s="42" t="n">
        <f aca="false">IFERROR(N(INDEX(Tasks[_Level],Tasks[[#This Row],[_Row]]+1)),0)</f>
        <v>0</v>
      </c>
      <c r="BY60" s="88" t="b">
        <f aca="false">AND(Tasks[[#This Row],[Task Name]]&lt;&gt;"",Tasks[[#This Row],[_NextLevel]]&gt;Tasks[[#This Row],[_Level]])</f>
        <v>0</v>
      </c>
      <c r="BZ60" s="42" t="n">
        <f aca="false">IF(Tasks[[#This Row],[_IsSummary]],COUNTIF(Tasks[WBS],Tasks[[#This Row],[WBS]]&amp;".*"),0)</f>
        <v>0</v>
      </c>
      <c r="CA60" s="42" t="n">
        <f aca="false">IF(AND(Tasks[[#This Row],[Task Name]]&lt;&gt;"",NOT(Tasks[[#This Row],[_IsSummary]])),1,0)</f>
        <v>0</v>
      </c>
      <c r="CB60" s="42" t="n">
        <f aca="false">IF(N(Tasks[[#This Row],[_Pred1UID]])=0,0,IFERROR(MATCH(Tasks[[#This Row],[_Pred1UID]],Tasks[UID],0),-1))</f>
        <v>0</v>
      </c>
      <c r="CC60" s="42" t="n">
        <f aca="false">IF(N(Tasks[[#This Row],[_Pred2UID]])=0,0,IFERROR(MATCH(Tasks[[#This Row],[_Pred2UID]],Tasks[UID],0),-1))</f>
        <v>0</v>
      </c>
      <c r="CD60" s="42" t="n">
        <f aca="false">IF(N(Tasks[[#This Row],[_Pred3UID]])=0,0,IFERROR(MATCH(Tasks[[#This Row],[_Pred3UID]],Tasks[UID],0),-1))</f>
        <v>0</v>
      </c>
      <c r="CE60" s="42" t="n">
        <f aca="false">IF(N(Tasks[[#This Row],[_Pred4UID]])=0,0,IFERROR(MATCH(Tasks[[#This Row],[_Pred4UID]],Tasks[UID],0),-1))</f>
        <v>0</v>
      </c>
      <c r="CF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0" s="89" t="n">
        <f aca="false">IF(OR(Tasks[[#This Row],[_ConstraintCode]]=2,Tasks[[#This Row],[_ConstraintCode]]=3,Tasks[[#This Row],[_ConstraintCode]]=4,Tasks[[#This Row],[_ConstraintCode]]=6),Tasks[[#This Row],[_ConstraintStart]],0)</f>
        <v>0</v>
      </c>
      <c r="CI60" s="89" t="n">
        <f aca="false">IF(OR(Tasks[[#This Row],[_ConstraintCode]]=2,Tasks[[#This Row],[_ConstraintCode]]=3,Tasks[[#This Row],[_ConstraintCode]]=5,Tasks[[#This Row],[_ConstraintCode]]=7),Tasks[[#This Row],[_ConstraintStart]],2958465)</f>
        <v>2958465</v>
      </c>
      <c r="CJ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0" s="89" t="str">
        <f aca="false">IF(NOT(Tasks[[#This Row],[_IsLeaf]]=1),"",IF(N(Tasks[[#This Row],[_Days]])&lt;=0,Tasks[[#This Row],[_LeafCalcStart]],WORKDAY.INTL(Tasks[[#This Row],[_LeafCalcStart]],Tasks[[#This Row],[_Days]]-1,WorkWeek,Holidays)))</f>
        <v/>
      </c>
      <c r="CL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0" s="42" t="str">
        <f aca="false">IF(Tasks[[#This Row],[_Predecessors]]="","",TRIM(MID(SUBSTITUTE(SUBSTITUTE(SUBSTITUTE(UPPER(Tasks[[#This Row],[_Predecessors]]),";",",")," ",""),",",REPT(" ",99)),1,99)))</f>
        <v/>
      </c>
      <c r="CO60" s="42" t="str">
        <f aca="false">IF(Tasks[[#This Row],[_Pred1Text]]="","",IFERROR(VALUE(LEFT(Tasks[[#This Row],[_Pred1Text]],MIN(FIND("F",Tasks[[#This Row],[_Pred1Text]]&amp;"F"),FIND("S",Tasks[[#This Row],[_Pred1Text]]&amp;"S"),FIND("+",Tasks[[#This Row],[_Pred1Text]]&amp;"+"),FIND("-",Tasks[[#This Row],[_Pred1Text]]&amp;"-"))-1)),""))</f>
        <v/>
      </c>
      <c r="CP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0" s="42" t="str">
        <f aca="false">IF(Tasks[[#This Row],[_Pred1Text]]="","",TRIM(MID(SUBSTITUTE(SUBSTITUTE(SUBSTITUTE(UPPER(Tasks[[#This Row],[_Predecessors]]),";",",")," ",""),",",REPT(" ",99)),100,99)))</f>
        <v/>
      </c>
      <c r="CS60" s="42" t="str">
        <f aca="false">IF(Tasks[[#This Row],[_Pred2Text]]="","",IFERROR(VALUE(LEFT(Tasks[[#This Row],[_Pred2Text]],MIN(FIND("F",Tasks[[#This Row],[_Pred2Text]]&amp;"F"),FIND("S",Tasks[[#This Row],[_Pred2Text]]&amp;"S"),FIND("+",Tasks[[#This Row],[_Pred2Text]]&amp;"+"),FIND("-",Tasks[[#This Row],[_Pred2Text]]&amp;"-"))-1)),""))</f>
        <v/>
      </c>
      <c r="CT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0" s="42" t="str">
        <f aca="false">IF(Tasks[[#This Row],[_Pred2Text]]="","",TRIM(MID(SUBSTITUTE(SUBSTITUTE(SUBSTITUTE(UPPER(Tasks[[#This Row],[_Predecessors]]),";",",")," ",""),",",REPT(" ",99)),199,99)))</f>
        <v/>
      </c>
      <c r="CW60" s="42" t="str">
        <f aca="false">IF(Tasks[[#This Row],[_Pred3Text]]="","",IFERROR(VALUE(LEFT(Tasks[[#This Row],[_Pred3Text]],MIN(FIND("F",Tasks[[#This Row],[_Pred3Text]]&amp;"F"),FIND("S",Tasks[[#This Row],[_Pred3Text]]&amp;"S"),FIND("+",Tasks[[#This Row],[_Pred3Text]]&amp;"+"),FIND("-",Tasks[[#This Row],[_Pred3Text]]&amp;"-"))-1)),""))</f>
        <v/>
      </c>
      <c r="CX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0" s="42" t="str">
        <f aca="false">IF(Tasks[[#This Row],[_Pred3Text]]="","",TRIM(MID(SUBSTITUTE(SUBSTITUTE(SUBSTITUTE(UPPER(Tasks[[#This Row],[_Predecessors]]),";",",")," ",""),",",REPT(" ",99)),298,99)))</f>
        <v/>
      </c>
      <c r="DA60" s="42" t="str">
        <f aca="false">IF(Tasks[[#This Row],[_Pred4Text]]="","",IFERROR(VALUE(LEFT(Tasks[[#This Row],[_Pred4Text]],MIN(FIND("F",Tasks[[#This Row],[_Pred4Text]]&amp;"F"),FIND("S",Tasks[[#This Row],[_Pred4Text]]&amp;"S"),FIND("+",Tasks[[#This Row],[_Pred4Text]]&amp;"+"),FIND("-",Tasks[[#This Row],[_Pred4Text]]&amp;"-"))-1)),""))</f>
        <v/>
      </c>
      <c r="DB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0" s="42" t="str">
        <f aca="false">IF(OR(Tasks[[#This Row],[Task Name]]="",Tasks[[#This Row],[_Resources]]=""),"",TRIM(MID(SUBSTITUTE(Tasks[[#This Row],[_Resources]],",",REPT(" ",99)),1,99)))</f>
        <v/>
      </c>
      <c r="DE60" s="42" t="str">
        <f aca="false">IF(Tasks[[#This Row],[_Res1Text]]="","",TRIM(MID(SUBSTITUTE(Tasks[[#This Row],[_Resources]],",",REPT(" ",99)),100,99)))</f>
        <v/>
      </c>
      <c r="DF60" s="42" t="str">
        <f aca="false">IF(Tasks[[#This Row],[_Res2Text]]="","",TRIM(MID(SUBSTITUTE(Tasks[[#This Row],[_Resources]],",",REPT(" ",99)),199,99)))</f>
        <v/>
      </c>
      <c r="DG60" s="42" t="str">
        <f aca="false">IF(Tasks[[#This Row],[_Res3Text]]="","",TRIM(MID(SUBSTITUTE(Tasks[[#This Row],[_Resources]],",",REPT(" ",99)),298,99)))</f>
        <v/>
      </c>
      <c r="DH60" s="42" t="n">
        <f aca="false">IF(Tasks[[#This Row],[_Res1Text]]="",0,IFERROR(MATCH(TRIM(LEFT(Tasks[[#This Row],[_Res1Text]],FIND("[",Tasks[[#This Row],[_Res1Text]]&amp;"[")-1)),res_Name,0),IFERROR(MATCH(TRIM(LEFT(Tasks[[#This Row],[_Res1Text]],FIND("[",Tasks[[#This Row],[_Res1Text]]&amp;"[")-1)),res_Initials,0),0)))</f>
        <v>0</v>
      </c>
      <c r="DI60" s="42" t="n">
        <f aca="false">IF(Tasks[[#This Row],[_Res2Text]]="",0,IFERROR(MATCH(TRIM(LEFT(Tasks[[#This Row],[_Res2Text]],FIND("[",Tasks[[#This Row],[_Res2Text]]&amp;"[")-1)),res_Name,0),IFERROR(MATCH(TRIM(LEFT(Tasks[[#This Row],[_Res2Text]],FIND("[",Tasks[[#This Row],[_Res2Text]]&amp;"[")-1)),res_Initials,0),0)))</f>
        <v>0</v>
      </c>
      <c r="DJ60" s="42" t="n">
        <f aca="false">IF(Tasks[[#This Row],[_Res3Text]]="",0,IFERROR(MATCH(TRIM(LEFT(Tasks[[#This Row],[_Res3Text]],FIND("[",Tasks[[#This Row],[_Res3Text]]&amp;"[")-1)),res_Name,0),IFERROR(MATCH(TRIM(LEFT(Tasks[[#This Row],[_Res3Text]],FIND("[",Tasks[[#This Row],[_Res3Text]]&amp;"[")-1)),res_Initials,0),0)))</f>
        <v>0</v>
      </c>
      <c r="DK60" s="42" t="n">
        <f aca="false">IF(Tasks[[#This Row],[_Res4Text]]="",0,IFERROR(MATCH(TRIM(LEFT(Tasks[[#This Row],[_Res4Text]],FIND("[",Tasks[[#This Row],[_Res4Text]]&amp;"[")-1)),res_Name,0),IFERROR(MATCH(TRIM(LEFT(Tasks[[#This Row],[_Res4Text]],FIND("[",Tasks[[#This Row],[_Res4Text]]&amp;"[")-1)),res_Initials,0),0)))</f>
        <v>0</v>
      </c>
      <c r="DL60" s="42" t="str">
        <f aca="false">IF(Tasks[[#This Row],[_Res1Text]]="","",IF(Tasks[[#This Row],[_Res1Row]]&gt;0,INDEX(res_Name,Tasks[[#This Row],[_Res1Row]]),TRIM(LEFT(Tasks[[#This Row],[_Res1Text]],FIND("[",Tasks[[#This Row],[_Res1Text]]&amp;"[")-1))))</f>
        <v/>
      </c>
      <c r="DM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0" s="42" t="n">
        <f aca="false">IF(NOT(Tasks[[#This Row],[_IsLeaf]]=1),0,(Tasks[[#This Row],[_Resource1]]&lt;&gt;"")+(Tasks[[#This Row],[_Res2]]&lt;&gt;"")+(Tasks[[#This Row],[_Res3]]&lt;&gt;"")+(Tasks[[#This Row],[_Res4]]&lt;&gt;""))</f>
        <v>0</v>
      </c>
      <c r="DO60" s="42" t="str">
        <f aca="false">IF(Tasks[[#This Row],[_Res2Text]]="","",IF(Tasks[[#This Row],[_Res2Row]]&gt;0,INDEX(res_Name,Tasks[[#This Row],[_Res2Row]]),TRIM(LEFT(Tasks[[#This Row],[_Res2Text]],FIND("[",Tasks[[#This Row],[_Res2Text]]&amp;"[")-1))))</f>
        <v/>
      </c>
      <c r="DP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0" s="42" t="n">
        <f aca="false">IF(OR(NOT(Tasks[[#This Row],[_IsLeaf]]=1),Tasks[[#This Row],[_Res2Row]]=0),0,N(Tasks[[#This Row],[_Days]])*HoursPerDay*IF(Tasks[[#This Row],[_Res2Units]]="",DefaultUnits,Tasks[[#This Row],[_Res2Units]]))</f>
        <v>0</v>
      </c>
      <c r="DR60" s="42" t="n">
        <f aca="false">IF(AND(AND(Tasks[[#This Row],[_IsLeaf]]=1,Tasks[[#This Row],[_LeafTotalWork]]&gt;0),Tasks[[#This Row],[_Res2Work]]&gt;0),Tasks[[#This Row],[_Res2Work]]/(Tasks[[#This Row],[_FinishWorkday]]-Tasks[[#This Row],[_StartWorkday]]+1),0)</f>
        <v>0</v>
      </c>
      <c r="DS60" s="42" t="n">
        <f aca="false">Tasks[[#This Row],[_Res2WorkPerWD]]*MAX(0,Tasks[[#This Row],[_StartWorkday]]-1)</f>
        <v>0</v>
      </c>
      <c r="DT60" s="42" t="n">
        <f aca="false">Tasks[[#This Row],[_Res2Work]]*Tasks[[#This Row],[_LeafProgress]]</f>
        <v>0</v>
      </c>
      <c r="DU60" s="42" t="str">
        <f aca="false">IF(Tasks[[#This Row],[_Res3Text]]="","",IF(Tasks[[#This Row],[_Res3Row]]&gt;0,INDEX(res_Name,Tasks[[#This Row],[_Res3Row]]),TRIM(LEFT(Tasks[[#This Row],[_Res3Text]],FIND("[",Tasks[[#This Row],[_Res3Text]]&amp;"[")-1))))</f>
        <v/>
      </c>
      <c r="DV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0" s="42" t="n">
        <f aca="false">IF(OR(NOT(Tasks[[#This Row],[_IsLeaf]]=1),Tasks[[#This Row],[_Res3Row]]=0),0,N(Tasks[[#This Row],[_Days]])*HoursPerDay*IF(Tasks[[#This Row],[_Res3Units]]="",DefaultUnits,Tasks[[#This Row],[_Res3Units]]))</f>
        <v>0</v>
      </c>
      <c r="DX60" s="42" t="n">
        <f aca="false">IF(AND(AND(Tasks[[#This Row],[_IsLeaf]]=1,Tasks[[#This Row],[_LeafTotalWork]]&gt;0),Tasks[[#This Row],[_Res3Work]]&gt;0),Tasks[[#This Row],[_Res3Work]]/(Tasks[[#This Row],[_FinishWorkday]]-Tasks[[#This Row],[_StartWorkday]]+1),0)</f>
        <v>0</v>
      </c>
      <c r="DY60" s="42" t="n">
        <f aca="false">Tasks[[#This Row],[_Res3WorkPerWD]]*MAX(0,Tasks[[#This Row],[_StartWorkday]]-1)</f>
        <v>0</v>
      </c>
      <c r="DZ60" s="42" t="n">
        <f aca="false">Tasks[[#This Row],[_Res3Work]]*Tasks[[#This Row],[_LeafProgress]]</f>
        <v>0</v>
      </c>
      <c r="EA60" s="42" t="str">
        <f aca="false">IF(Tasks[[#This Row],[_Res4Text]]="","",IF(Tasks[[#This Row],[_Res4Row]]&gt;0,INDEX(res_Name,Tasks[[#This Row],[_Res4Row]]),TRIM(LEFT(Tasks[[#This Row],[_Res4Text]],FIND("[",Tasks[[#This Row],[_Res4Text]]&amp;"[")-1))))</f>
        <v/>
      </c>
      <c r="EB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0" s="42" t="n">
        <f aca="false">IF(OR(NOT(Tasks[[#This Row],[_IsLeaf]]=1),Tasks[[#This Row],[_Res4Row]]=0),0,N(Tasks[[#This Row],[_Days]])*HoursPerDay*IF(Tasks[[#This Row],[_Res4Units]]="",DefaultUnits,Tasks[[#This Row],[_Res4Units]]))</f>
        <v>0</v>
      </c>
      <c r="ED60" s="42" t="n">
        <f aca="false">IF(AND(AND(Tasks[[#This Row],[_IsLeaf]]=1,Tasks[[#This Row],[_LeafTotalWork]]&gt;0),Tasks[[#This Row],[_Res4Work]]&gt;0),Tasks[[#This Row],[_Res4Work]]/(Tasks[[#This Row],[_FinishWorkday]]-Tasks[[#This Row],[_StartWorkday]]+1),0)</f>
        <v>0</v>
      </c>
      <c r="EE60" s="42" t="n">
        <f aca="false">Tasks[[#This Row],[_Res4WorkPerWD]]*MAX(0,Tasks[[#This Row],[_StartWorkday]]-1)</f>
        <v>0</v>
      </c>
      <c r="EF60" s="42" t="n">
        <f aca="false">Tasks[[#This Row],[_Res4Work]]*Tasks[[#This Row],[_LeafProgress]]</f>
        <v>0</v>
      </c>
      <c r="EG60" s="42" t="n">
        <f aca="false">IF(ISNUMBER(Tasks[[#This Row],[% Complete]]),Tasks[[#This Row],[% Complete]],IF(Tasks[[#This Row],[Stage]]="",0,IFERROR(INDEX(stg_Pct,MATCH(Tasks[[#This Row],[Stage]],stg_Name,0)),0)))</f>
        <v>0</v>
      </c>
      <c r="EH60" s="42" t="n">
        <f aca="false">IF(NOT(Tasks[[#This Row],[_IsLeaf]]=1),0,IF(N(Tasks[[#This Row],[Actual Finish]])&gt;0,1,MIN(1,Tasks[[#This Row],[_Pct]])))</f>
        <v>0</v>
      </c>
      <c r="EI60" s="42" t="n">
        <f aca="false">IF(OR(NOT(Tasks[[#This Row],[_IsLeaf]]=1),Tasks[[#This Row],[_Res1Row]]=0),0,N(Tasks[[#This Row],[_Days]])*HoursPerDay*IF(Tasks[[#This Row],[_Units1]]="",DefaultUnits,Tasks[[#This Row],[_Units1]]))</f>
        <v>0</v>
      </c>
      <c r="EJ60" s="42" t="n">
        <f aca="false">Tasks[[#This Row],[_LeafWork]]+Tasks[[#This Row],[_Res2Work]]+Tasks[[#This Row],[_Res3Work]]+Tasks[[#This Row],[_Res4Work]]</f>
        <v>0</v>
      </c>
      <c r="EK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0" s="42" t="n">
        <f aca="false">IF(NOT(Tasks[[#This Row],[_IsLeaf]]=1),0,MAX(_xlfn.MAXIFS(Tasks[_Row],Tasks[_Pred1UID],Tasks[[#This Row],[UID]]),_xlfn.MAXIFS(Tasks[_Row],Tasks[_Pred2UID],Tasks[[#This Row],[UID]]),_xlfn.MAXIFS(Tasks[_Row],Tasks[_Pred3UID],Tasks[[#This Row],[UID]]),_xlfn.MAXIFS(Tasks[_Row],Tasks[_Pred4UID],Tasks[[#This Row],[UID]])))</f>
        <v>0</v>
      </c>
      <c r="ET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0" s="89" t="str">
        <f aca="false">IF(NOT(Tasks[[#This Row],[_IsLeaf]]=1),"",IF(N(Tasks[[#This Row],[_Days]])&lt;=0,Tasks[[#This Row],[_LeafLateFinish]],WORKDAY.INTL(Tasks[[#This Row],[_LeafLateFinish]],-(Tasks[[#This Row],[_Days]]-1),WorkWeek,Holidays)))</f>
        <v/>
      </c>
      <c r="EW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0" s="88" t="b">
        <f aca="false">AND(Tasks[[#This Row],[_IsLeaf]]=1,Tasks[[#This Row],[_LeafProgress]]&lt;1,N(Tasks[[#This Row],[_LeafTotalSlack]])&lt;=CriticalSlackDays)</f>
        <v>0</v>
      </c>
      <c r="EY60" s="42" t="n">
        <f aca="false">IF(AND(Tasks[[#This Row],[_IsLeaf]]=1,Tasks[[#This Row],[_ConstraintCode]]=1,Tasks[[#This Row],[Mode]]&lt;&gt;"Manual",N(Tasks[[#This Row],[Actual Start]])=0),MAX(0,N(Tasks[[#This Row],[Free Slack]])),0)</f>
        <v>0</v>
      </c>
      <c r="EZ60" s="89" t="str">
        <f aca="false">IF(NOT(Tasks[[#This Row],[_IsLeaf]]=1),"",IF(Tasks[[#This Row],[_AlapShift]]=0,Tasks[[#This Row],[_LeafCalcStart]],WORKDAY.INTL(Tasks[[#This Row],[_LeafCalcStart]],Tasks[[#This Row],[_AlapShift]],WorkWeek,Holidays)))</f>
        <v/>
      </c>
      <c r="FA60" s="89" t="str">
        <f aca="false">IF(NOT(Tasks[[#This Row],[_IsLeaf]]=1),"",IF(Tasks[[#This Row],[_AlapShift]]=0,Tasks[[#This Row],[_LeafCalcFinish]],WORKDAY.INTL(Tasks[[#This Row],[_LeafCalcFinish]],Tasks[[#This Row],[_AlapShift]],WorkWeek,Holidays)))</f>
        <v/>
      </c>
      <c r="FB60" s="89" t="str">
        <f aca="false">IF(NOT(Tasks[[#This Row],[_IsLeaf]]=1),"",IF(Tasks[[#This Row],[_AlapShift]]=0,Tasks[[#This Row],[_LeafFcstStart]],WORKDAY.INTL(Tasks[[#This Row],[_LeafFcstStart]],Tasks[[#This Row],[_AlapShift]],WorkWeek,Holidays)))</f>
        <v/>
      </c>
      <c r="FC60" s="89" t="str">
        <f aca="false">IF(NOT(Tasks[[#This Row],[_IsLeaf]]=1),"",IF(Tasks[[#This Row],[_AlapShift]]=0,Tasks[[#This Row],[_LeafFcstFinish]],WORKDAY.INTL(Tasks[[#This Row],[_LeafFcstFinish]],Tasks[[#This Row],[_AlapShift]],WorkWeek,Holidays)))</f>
        <v/>
      </c>
      <c r="FD60" s="89" t="str">
        <f aca="false">IF(Tasks[[#This Row],[Task Name]]="","",IF(Tasks[[#This Row],[_IsSummary]],MIN(INDEX(Tasks[_ShownCalcStart],Tasks[[#This Row],[_Row]]+1):INDEX(Tasks[_ShownCalcStart],Tasks[[#This Row],[_Row]]+Tasks[[#This Row],[_Descendants]])),Tasks[[#This Row],[_ShownCalcStart]]))</f>
        <v/>
      </c>
      <c r="FE60" s="89" t="str">
        <f aca="false">IF(Tasks[[#This Row],[Task Name]]="","",IF(Tasks[[#This Row],[_IsSummary]],MAX(INDEX(Tasks[_ShownCalcFinish],Tasks[[#This Row],[_Row]]+1):INDEX(Tasks[_ShownCalcFinish],Tasks[[#This Row],[_Row]]+Tasks[[#This Row],[_Descendants]])),Tasks[[#This Row],[_ShownCalcFinish]]))</f>
        <v/>
      </c>
      <c r="FF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0" s="42" t="n">
        <f aca="false">IF(AND(Tasks[[#This Row],[_IsLeaf]]=1,Tasks[[#This Row],[_LeafTotalWork]]&gt;0),NETWORKDAYS.INTL(ProjectStart,Tasks[[#This Row],[_ShownFcstStart]],WorkWeek,Holidays),0)</f>
        <v>0</v>
      </c>
      <c r="FS60" s="42" t="n">
        <f aca="false">IF(AND(Tasks[[#This Row],[_IsLeaf]]=1,Tasks[[#This Row],[_LeafTotalWork]]&gt;0),MAX(Tasks[[#This Row],[_StartWorkday]],NETWORKDAYS.INTL(ProjectStart,Tasks[[#This Row],[_ShownFcstFinish]],WorkWeek,Holidays)),0)</f>
        <v>0</v>
      </c>
      <c r="FT60" s="42" t="n">
        <f aca="false">IF(AND(Tasks[[#This Row],[_IsLeaf]]=1,Tasks[[#This Row],[_LeafTotalWork]]&gt;0),Tasks[[#This Row],[_LeafWork]]/(Tasks[[#This Row],[_FinishWorkday]]-Tasks[[#This Row],[_StartWorkday]]+1),0)</f>
        <v>0</v>
      </c>
      <c r="FU60" s="42" t="n">
        <f aca="false">Tasks[[#This Row],[_WorkPerWorkday]]*(Tasks[[#This Row],[_StartWorkday]]-1)</f>
        <v>-0</v>
      </c>
      <c r="FV60" s="42" t="n">
        <f aca="false">IF(Tasks[[#This Row],[_IsLeaf]]=1,MAX(N(Tasks[[#This Row],[_Days]]),0.1),0)</f>
        <v>0</v>
      </c>
      <c r="FW60" s="42" t="n">
        <f aca="false">Tasks[[#This Row],[_WeightDur]]*Tasks[[#This Row],[_LeafProgress]]</f>
        <v>0</v>
      </c>
      <c r="FX60" s="42" t="n">
        <f aca="false">Tasks[[#This Row],[_WeightDur]]*Tasks[[#This Row],[_PlannedPct]]</f>
        <v>0</v>
      </c>
      <c r="FY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0" s="42" t="str">
        <f aca="false">IF(AND(Tasks[[#This Row],[_IsLeaf]]=1,N(Tasks[[#This Row],[_Days]])=0,Tasks[[#This Row],[_LeafProgress]]&lt;1),Tasks[[#This Row],[_ShownFcstFinish]]+Tasks[[#This Row],[_Row]]/100000,"")</f>
        <v/>
      </c>
      <c r="GA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0" s="42" t="str">
        <f aca="false">IF(Tasks[[#This Row],[Task Name]]="","",LEFT(Tasks[[#This Row],[WBS]],FIND(".",Tasks[[#This Row],[WBS]]&amp;".")-1))</f>
        <v/>
      </c>
      <c r="GC60" s="42" t="str">
        <f aca="false">IF(AND(Tasks[[#This Row],[Task Name]]&lt;&gt;"",Tasks[[#This Row],[_Level]]=1),Tasks[[#This Row],[_Row]],"")</f>
        <v/>
      </c>
      <c r="GD60" s="42" t="str">
        <f aca="false">IF(AND(Tasks[[#This Row],[_IsLeaf]]=1,N(Tasks[[#This Row],[_Days]])=0),Tasks[[#This Row],[Planned Finish]]+Tasks[[#This Row],[_Row]]/100000,"")</f>
        <v/>
      </c>
      <c r="GE60" s="42" t="str">
        <f aca="false">IF(AND(Tasks[[#This Row],[_IsLeaf]]=1,Tasks[[#This Row],[_LeafProgress]]&lt;1,OR(N(Tasks[[#This Row],[Finish Var]])&gt;0,Tasks[[#This Row],[Status]]="Late Start")),MAX(0,Tasks[[#This Row],[Finish Var]])+1-Tasks[[#This Row],[_Row]]/1000000,"")</f>
        <v/>
      </c>
      <c r="GF60" s="42" t="str">
        <f aca="false">IF(AND(Tasks[[#This Row],[_IsLeaf]]=1,N(Tasks[[#This Row],[Actual Start]])=0,Tasks[[#This Row],[_ShownFcstStart]]&gt;=StatusDate,Tasks[[#This Row],[_ShownFcstStart]]&lt;=LookaheadEnd),Tasks[[#This Row],[_ShownFcstStart]]+Tasks[[#This Row],[_Row]]/100000,"")</f>
        <v/>
      </c>
      <c r="GG60" s="42" t="str">
        <f aca="false">IF(AND(Tasks[[#This Row],[_IsLeaf]]=1,Tasks[[#This Row],[_LeafProgress]]&lt;1,Tasks[[#This Row],[_ShownFcstFinish]]&gt;=StatusDate,Tasks[[#This Row],[_ShownFcstFinish]]&lt;=LookaheadEnd),Tasks[[#This Row],[_ShownFcstFinish]]+Tasks[[#This Row],[_Row]]/100000,"")</f>
        <v/>
      </c>
      <c r="GH60" s="42" t="str">
        <f aca="false">IF(Tasks[[#This Row],[_LeafCritical]],Tasks[[#This Row],[_ShownFcstStart]]+Tasks[[#This Row],[_Row]]/100000,"")</f>
        <v/>
      </c>
      <c r="GI60" s="42" t="n">
        <f aca="false">Tasks[[#This Row],[_LeafWork]]*Tasks[[#This Row],[_LeafProgress]]</f>
        <v>0</v>
      </c>
      <c r="GJ60" s="89" t="str">
        <f aca="false">IF(AND(Tasks[[#This Row],[_IsLeaf]]=1,Tasks[[#This Row],[_LeafProgress]]&gt;=1),IF(N(Tasks[[#This Row],[Actual Finish]])&gt;0,Tasks[[#This Row],[Actual Finish]],Tasks[[#This Row],[_ShownFcstFinish]]),"")</f>
        <v/>
      </c>
      <c r="GK60" s="42" t="n">
        <f aca="false">IF(Tasks[[#This Row],[_IsLeaf]]=1,N(Tasks[[#This Row],[Story Points]]),0)</f>
        <v>0</v>
      </c>
      <c r="GL60" s="42" t="str">
        <f aca="false">""</f>
        <v/>
      </c>
      <c r="GM60" s="88" t="b">
        <f aca="false">IF(Tasks[[#This Row],[Task Name]]="",FALSE(),AND(Tasks[[#This Row],[_IsLeaf]]=1,N(Tasks[[#This Row],[_Days]])=0))</f>
        <v>0</v>
      </c>
      <c r="GN60" s="89" t="n">
        <f aca="false">IF(Tasks[[#This Row],[Task Name]]="",0,IF(AND(Tasks[[#This Row],[_IsLeaf]]=1,NOT(Tasks[[#This Row],[_IsMilestone]]),N(Tasks[[#This Row],[Progress]])&gt;0),Tasks[[#This Row],[Start]],0))</f>
        <v>0</v>
      </c>
      <c r="GO60" s="89" t="n">
        <f aca="false">IF(Tasks[[#This Row],[_DoneFrom]]=0,0,IF(Tasks[[#This Row],[Progress]]&gt;=1,Tasks[[#This Row],[Finish]],MAX(Tasks[[#This Row],[_DoneFrom]],Tasks[[#This Row],[Start]]+ROUND((Tasks[[#This Row],[Finish]]-Tasks[[#This Row],[Start]]+1)*Tasks[[#This Row],[Progress]],0)-1)))</f>
        <v>0</v>
      </c>
      <c r="GP60" s="89" t="n">
        <f aca="false">IF(Tasks[[#This Row],[Task Name]]="",0,IF(OR(NOT(Tasks[[#This Row],[_IsLeaf]]=1),Tasks[[#This Row],[_IsMilestone]],N(Tasks[[#This Row],[Progress]])&gt;=1),0,IF(Tasks[[#This Row],[_DoneTo]]&gt;0,Tasks[[#This Row],[_DoneTo]]+1,Tasks[[#This Row],[Start]])))</f>
        <v>0</v>
      </c>
      <c r="GQ60" s="89" t="n">
        <f aca="false">IF(Tasks[[#This Row],[_RemFrom]]=0,0,Tasks[[#This Row],[Finish]])</f>
        <v>0</v>
      </c>
      <c r="GR60" s="88" t="b">
        <f aca="false">IF(Tasks[[#This Row],[Task Name]]="",FALSE(),OR(NOT(BaselineSet),N(Tasks[[#This Row],[Baseline Start]])&gt;0))</f>
        <v>0</v>
      </c>
      <c r="GS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0" s="90" t="str">
        <f aca="false">IF(Tasks[[#This Row],[_IsLeaf]]=1,Tasks[[#This Row],[_Row]],"")</f>
        <v/>
      </c>
      <c r="GW60" s="90" t="str">
        <f aca="false">IFERROR(INDEX(Tasks[UID],SMALL(Tasks[_PickKey],Tasks[[#This Row],[_Row]]))&amp;" "&amp;INDEX(Tasks[Task Name],SMALL(Tasks[_PickKey],Tasks[[#This Row],[_Row]])),"")</f>
        <v/>
      </c>
      <c r="GX60" s="42" t="str">
        <f aca="false">IF(Tasks[[#This Row],[Task Name]]="","",IF(Tasks[[#This Row],[_IsSummary]],NETWORKDAYS.INTL(Tasks[[#This Row],[Start]],Tasks[[#This Row],[Finish]],WorkWeek,Holidays),N(Tasks[[#This Row],[_Days]])))</f>
        <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3"/>
      <c r="U61" s="23"/>
      <c r="V61" s="83"/>
      <c r="W61" s="23"/>
      <c r="X61" s="83"/>
      <c r="Y61" s="23"/>
      <c r="Z61" s="83"/>
      <c r="AA61" s="23"/>
      <c r="AB61" s="23"/>
      <c r="AC61" s="7"/>
      <c r="AD61" s="7"/>
      <c r="AE61" s="62" t="str">
        <f aca="false">IF(Tasks[[#This Row],[Task Name]]="","",IF(Tasks[[#This Row],[_IsSummary]],MIN(INDEX(Tasks[_ShownFcstStart],Tasks[[#This Row],[_Row]]+1):INDEX(Tasks[_ShownFcstStart],Tasks[[#This Row],[_Row]]+Tasks[[#This Row],[_Descendants]])),Tasks[[#This Row],[_ShownFcstStart]]))</f>
        <v/>
      </c>
      <c r="AF61" s="62"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1" s="7"/>
      <c r="AK61" s="22"/>
      <c r="AL61" s="23"/>
      <c r="AM61" s="7"/>
      <c r="AN61" s="46"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2" t="str">
        <f aca="false">IF(Tasks[[#This Row],[Task Name]]="","",IF(N(Tasks[[#This Row],[Baseline Start]])&gt;0,Tasks[[#This Row],[Baseline Start]],Tasks[[#This Row],[_CalcStart]]))</f>
        <v/>
      </c>
      <c r="AR61" s="62" t="str">
        <f aca="false">IF(Tasks[[#This Row],[Task Name]]="","",IF(N(Tasks[[#This Row],[Baseline Finish]])&gt;0,Tasks[[#This Row],[Baseline Finish]],Tasks[[#This Row],[_CalcFinish]]))</f>
        <v/>
      </c>
      <c r="AS61" s="46" t="str">
        <f aca="false">IF(Tasks[[#This Row],[Task Name]]="","",IF(Tasks[[#This Row],[Start]]&gt;=Tasks[[#This Row],[Planned Start]],NETWORKDAYS.INTL(Tasks[[#This Row],[Planned Start]],Tasks[[#This Row],[Start]],WorkWeek,Holidays)-1,1-NETWORKDAYS.INTL(Tasks[[#This Row],[Start]],Tasks[[#This Row],[Planned Start]],WorkWeek,Holidays)))</f>
        <v/>
      </c>
      <c r="AT61" s="62" t="str">
        <f aca="false">IF(Tasks[[#This Row],[Task Name]]="","",IF(Tasks[[#This Row],[_IsSummary]],MIN(INDEX(Tasks[_LeafLateStart],Tasks[[#This Row],[_Row]]+1):INDEX(Tasks[_LeafLateStart],Tasks[[#This Row],[_Row]]+Tasks[[#This Row],[_Descendants]])),Tasks[[#This Row],[_LeafLateStart]]))</f>
        <v/>
      </c>
      <c r="AU61" s="62" t="str">
        <f aca="false">IF(Tasks[[#This Row],[Task Name]]="","",IF(Tasks[[#This Row],[_IsSummary]],MAX(INDEX(Tasks[_LeafLateFinish],Tasks[[#This Row],[_Row]]+1):INDEX(Tasks[_LeafLateFinish],Tasks[[#This Row],[_Row]]+Tasks[[#This Row],[_Descendants]])),Tasks[[#This Row],[_LeafLateFinish]]))</f>
        <v/>
      </c>
      <c r="AV61" s="46"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4"/>
      <c r="BA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5"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6"/>
      <c r="BJ61" s="22"/>
      <c r="BK61" s="46" t="str">
        <f aca="false">IF(OR(Tasks[[#This Row],[Task Name]]="",Tasks[[#This Row],[Baseline Duration]]=""),"",Tasks[[#This Row],[_SpanDays]]-N(Tasks[[#This Row],[Baseline Duration]]))</f>
        <v/>
      </c>
      <c r="BL61" s="85" t="str">
        <f aca="false">IF(OR(Tasks[[#This Row],[Task Name]]="",Tasks[[#This Row],[Baseline Work]]=""),"",Tasks[[#This Row],[Work]]-N(Tasks[[#This Row],[Baseline Work]]))</f>
        <v/>
      </c>
      <c r="BM61" s="62" t="str">
        <f aca="false">IF(Tasks[[#This Row],[Task Name]]="","",IF(OR(TakeBaseline="Yes",N(Tasks[[#This Row],[Baseline Start]])=0),Tasks[[#This Row],[Start]],Tasks[[#This Row],[Baseline Start]]))</f>
        <v/>
      </c>
      <c r="BN61" s="62"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5" t="str">
        <f aca="false">IF(Tasks[[#This Row],[Task Name]]="","",IF(OR(TakeBaseline="Yes",N(Tasks[[#This Row],[Baseline Work]])=0),Tasks[[#This Row],[Work]],Tasks[[#This Row],[Baseline Work]]))</f>
        <v/>
      </c>
      <c r="BQ61" s="7"/>
      <c r="BR61" s="7"/>
      <c r="BS61" s="22"/>
      <c r="BT61" s="87"/>
      <c r="BU61" s="42" t="str">
        <f aca="false">IF(Tasks[[#This Row],[Task Name]]="","",MAX(1,N(Tasks[[#This Row],[Level]])))</f>
        <v/>
      </c>
      <c r="BV61" s="42" t="n">
        <f aca="false">ROW()-ROW(Tasks[[#Headers],[ID]])</f>
        <v>56</v>
      </c>
      <c r="BW61" s="42" t="n">
        <f aca="false">IF(OR(Tasks[[#This Row],[Task Name]]="",Tasks[[#This Row],[_Level]]&lt;=1),0,IFERROR(LOOKUP(2,1/(Tasks[[#Headers],[_Level]]:Tasks[[#This Row],[_Level]]=Tasks[[#This Row],[_Level]]-1),ROW(Tasks[[#Headers],[_Level]]:Tasks[[#This Row],[_Level]])),0))</f>
        <v>0</v>
      </c>
      <c r="BX61" s="42" t="n">
        <f aca="false">IFERROR(N(INDEX(Tasks[_Level],Tasks[[#This Row],[_Row]]+1)),0)</f>
        <v>0</v>
      </c>
      <c r="BY61" s="88" t="b">
        <f aca="false">AND(Tasks[[#This Row],[Task Name]]&lt;&gt;"",Tasks[[#This Row],[_NextLevel]]&gt;Tasks[[#This Row],[_Level]])</f>
        <v>0</v>
      </c>
      <c r="BZ61" s="42" t="n">
        <f aca="false">IF(Tasks[[#This Row],[_IsSummary]],COUNTIF(Tasks[WBS],Tasks[[#This Row],[WBS]]&amp;".*"),0)</f>
        <v>0</v>
      </c>
      <c r="CA61" s="42" t="n">
        <f aca="false">IF(AND(Tasks[[#This Row],[Task Name]]&lt;&gt;"",NOT(Tasks[[#This Row],[_IsSummary]])),1,0)</f>
        <v>0</v>
      </c>
      <c r="CB61" s="42" t="n">
        <f aca="false">IF(N(Tasks[[#This Row],[_Pred1UID]])=0,0,IFERROR(MATCH(Tasks[[#This Row],[_Pred1UID]],Tasks[UID],0),-1))</f>
        <v>0</v>
      </c>
      <c r="CC61" s="42" t="n">
        <f aca="false">IF(N(Tasks[[#This Row],[_Pred2UID]])=0,0,IFERROR(MATCH(Tasks[[#This Row],[_Pred2UID]],Tasks[UID],0),-1))</f>
        <v>0</v>
      </c>
      <c r="CD61" s="42" t="n">
        <f aca="false">IF(N(Tasks[[#This Row],[_Pred3UID]])=0,0,IFERROR(MATCH(Tasks[[#This Row],[_Pred3UID]],Tasks[UID],0),-1))</f>
        <v>0</v>
      </c>
      <c r="CE61" s="42" t="n">
        <f aca="false">IF(N(Tasks[[#This Row],[_Pred4UID]])=0,0,IFERROR(MATCH(Tasks[[#This Row],[_Pred4UID]],Tasks[UID],0),-1))</f>
        <v>0</v>
      </c>
      <c r="CF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1" s="89" t="n">
        <f aca="false">IF(OR(Tasks[[#This Row],[_ConstraintCode]]=2,Tasks[[#This Row],[_ConstraintCode]]=3,Tasks[[#This Row],[_ConstraintCode]]=4,Tasks[[#This Row],[_ConstraintCode]]=6),Tasks[[#This Row],[_ConstraintStart]],0)</f>
        <v>0</v>
      </c>
      <c r="CI61" s="89" t="n">
        <f aca="false">IF(OR(Tasks[[#This Row],[_ConstraintCode]]=2,Tasks[[#This Row],[_ConstraintCode]]=3,Tasks[[#This Row],[_ConstraintCode]]=5,Tasks[[#This Row],[_ConstraintCode]]=7),Tasks[[#This Row],[_ConstraintStart]],2958465)</f>
        <v>2958465</v>
      </c>
      <c r="CJ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1" s="89" t="str">
        <f aca="false">IF(NOT(Tasks[[#This Row],[_IsLeaf]]=1),"",IF(N(Tasks[[#This Row],[_Days]])&lt;=0,Tasks[[#This Row],[_LeafCalcStart]],WORKDAY.INTL(Tasks[[#This Row],[_LeafCalcStart]],Tasks[[#This Row],[_Days]]-1,WorkWeek,Holidays)))</f>
        <v/>
      </c>
      <c r="CL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1" s="42" t="str">
        <f aca="false">IF(Tasks[[#This Row],[_Predecessors]]="","",TRIM(MID(SUBSTITUTE(SUBSTITUTE(SUBSTITUTE(UPPER(Tasks[[#This Row],[_Predecessors]]),";",",")," ",""),",",REPT(" ",99)),1,99)))</f>
        <v/>
      </c>
      <c r="CO61" s="42" t="str">
        <f aca="false">IF(Tasks[[#This Row],[_Pred1Text]]="","",IFERROR(VALUE(LEFT(Tasks[[#This Row],[_Pred1Text]],MIN(FIND("F",Tasks[[#This Row],[_Pred1Text]]&amp;"F"),FIND("S",Tasks[[#This Row],[_Pred1Text]]&amp;"S"),FIND("+",Tasks[[#This Row],[_Pred1Text]]&amp;"+"),FIND("-",Tasks[[#This Row],[_Pred1Text]]&amp;"-"))-1)),""))</f>
        <v/>
      </c>
      <c r="CP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1" s="42" t="str">
        <f aca="false">IF(Tasks[[#This Row],[_Pred1Text]]="","",TRIM(MID(SUBSTITUTE(SUBSTITUTE(SUBSTITUTE(UPPER(Tasks[[#This Row],[_Predecessors]]),";",",")," ",""),",",REPT(" ",99)),100,99)))</f>
        <v/>
      </c>
      <c r="CS61" s="42" t="str">
        <f aca="false">IF(Tasks[[#This Row],[_Pred2Text]]="","",IFERROR(VALUE(LEFT(Tasks[[#This Row],[_Pred2Text]],MIN(FIND("F",Tasks[[#This Row],[_Pred2Text]]&amp;"F"),FIND("S",Tasks[[#This Row],[_Pred2Text]]&amp;"S"),FIND("+",Tasks[[#This Row],[_Pred2Text]]&amp;"+"),FIND("-",Tasks[[#This Row],[_Pred2Text]]&amp;"-"))-1)),""))</f>
        <v/>
      </c>
      <c r="CT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1" s="42" t="str">
        <f aca="false">IF(Tasks[[#This Row],[_Pred2Text]]="","",TRIM(MID(SUBSTITUTE(SUBSTITUTE(SUBSTITUTE(UPPER(Tasks[[#This Row],[_Predecessors]]),";",",")," ",""),",",REPT(" ",99)),199,99)))</f>
        <v/>
      </c>
      <c r="CW61" s="42" t="str">
        <f aca="false">IF(Tasks[[#This Row],[_Pred3Text]]="","",IFERROR(VALUE(LEFT(Tasks[[#This Row],[_Pred3Text]],MIN(FIND("F",Tasks[[#This Row],[_Pred3Text]]&amp;"F"),FIND("S",Tasks[[#This Row],[_Pred3Text]]&amp;"S"),FIND("+",Tasks[[#This Row],[_Pred3Text]]&amp;"+"),FIND("-",Tasks[[#This Row],[_Pred3Text]]&amp;"-"))-1)),""))</f>
        <v/>
      </c>
      <c r="CX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1" s="42" t="str">
        <f aca="false">IF(Tasks[[#This Row],[_Pred3Text]]="","",TRIM(MID(SUBSTITUTE(SUBSTITUTE(SUBSTITUTE(UPPER(Tasks[[#This Row],[_Predecessors]]),";",",")," ",""),",",REPT(" ",99)),298,99)))</f>
        <v/>
      </c>
      <c r="DA61" s="42" t="str">
        <f aca="false">IF(Tasks[[#This Row],[_Pred4Text]]="","",IFERROR(VALUE(LEFT(Tasks[[#This Row],[_Pred4Text]],MIN(FIND("F",Tasks[[#This Row],[_Pred4Text]]&amp;"F"),FIND("S",Tasks[[#This Row],[_Pred4Text]]&amp;"S"),FIND("+",Tasks[[#This Row],[_Pred4Text]]&amp;"+"),FIND("-",Tasks[[#This Row],[_Pred4Text]]&amp;"-"))-1)),""))</f>
        <v/>
      </c>
      <c r="DB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1" s="42" t="str">
        <f aca="false">IF(OR(Tasks[[#This Row],[Task Name]]="",Tasks[[#This Row],[_Resources]]=""),"",TRIM(MID(SUBSTITUTE(Tasks[[#This Row],[_Resources]],",",REPT(" ",99)),1,99)))</f>
        <v/>
      </c>
      <c r="DE61" s="42" t="str">
        <f aca="false">IF(Tasks[[#This Row],[_Res1Text]]="","",TRIM(MID(SUBSTITUTE(Tasks[[#This Row],[_Resources]],",",REPT(" ",99)),100,99)))</f>
        <v/>
      </c>
      <c r="DF61" s="42" t="str">
        <f aca="false">IF(Tasks[[#This Row],[_Res2Text]]="","",TRIM(MID(SUBSTITUTE(Tasks[[#This Row],[_Resources]],",",REPT(" ",99)),199,99)))</f>
        <v/>
      </c>
      <c r="DG61" s="42" t="str">
        <f aca="false">IF(Tasks[[#This Row],[_Res3Text]]="","",TRIM(MID(SUBSTITUTE(Tasks[[#This Row],[_Resources]],",",REPT(" ",99)),298,99)))</f>
        <v/>
      </c>
      <c r="DH61" s="42" t="n">
        <f aca="false">IF(Tasks[[#This Row],[_Res1Text]]="",0,IFERROR(MATCH(TRIM(LEFT(Tasks[[#This Row],[_Res1Text]],FIND("[",Tasks[[#This Row],[_Res1Text]]&amp;"[")-1)),res_Name,0),IFERROR(MATCH(TRIM(LEFT(Tasks[[#This Row],[_Res1Text]],FIND("[",Tasks[[#This Row],[_Res1Text]]&amp;"[")-1)),res_Initials,0),0)))</f>
        <v>0</v>
      </c>
      <c r="DI61" s="42" t="n">
        <f aca="false">IF(Tasks[[#This Row],[_Res2Text]]="",0,IFERROR(MATCH(TRIM(LEFT(Tasks[[#This Row],[_Res2Text]],FIND("[",Tasks[[#This Row],[_Res2Text]]&amp;"[")-1)),res_Name,0),IFERROR(MATCH(TRIM(LEFT(Tasks[[#This Row],[_Res2Text]],FIND("[",Tasks[[#This Row],[_Res2Text]]&amp;"[")-1)),res_Initials,0),0)))</f>
        <v>0</v>
      </c>
      <c r="DJ61" s="42" t="n">
        <f aca="false">IF(Tasks[[#This Row],[_Res3Text]]="",0,IFERROR(MATCH(TRIM(LEFT(Tasks[[#This Row],[_Res3Text]],FIND("[",Tasks[[#This Row],[_Res3Text]]&amp;"[")-1)),res_Name,0),IFERROR(MATCH(TRIM(LEFT(Tasks[[#This Row],[_Res3Text]],FIND("[",Tasks[[#This Row],[_Res3Text]]&amp;"[")-1)),res_Initials,0),0)))</f>
        <v>0</v>
      </c>
      <c r="DK61" s="42" t="n">
        <f aca="false">IF(Tasks[[#This Row],[_Res4Text]]="",0,IFERROR(MATCH(TRIM(LEFT(Tasks[[#This Row],[_Res4Text]],FIND("[",Tasks[[#This Row],[_Res4Text]]&amp;"[")-1)),res_Name,0),IFERROR(MATCH(TRIM(LEFT(Tasks[[#This Row],[_Res4Text]],FIND("[",Tasks[[#This Row],[_Res4Text]]&amp;"[")-1)),res_Initials,0),0)))</f>
        <v>0</v>
      </c>
      <c r="DL61" s="42" t="str">
        <f aca="false">IF(Tasks[[#This Row],[_Res1Text]]="","",IF(Tasks[[#This Row],[_Res1Row]]&gt;0,INDEX(res_Name,Tasks[[#This Row],[_Res1Row]]),TRIM(LEFT(Tasks[[#This Row],[_Res1Text]],FIND("[",Tasks[[#This Row],[_Res1Text]]&amp;"[")-1))))</f>
        <v/>
      </c>
      <c r="DM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1" s="42" t="n">
        <f aca="false">IF(NOT(Tasks[[#This Row],[_IsLeaf]]=1),0,(Tasks[[#This Row],[_Resource1]]&lt;&gt;"")+(Tasks[[#This Row],[_Res2]]&lt;&gt;"")+(Tasks[[#This Row],[_Res3]]&lt;&gt;"")+(Tasks[[#This Row],[_Res4]]&lt;&gt;""))</f>
        <v>0</v>
      </c>
      <c r="DO61" s="42" t="str">
        <f aca="false">IF(Tasks[[#This Row],[_Res2Text]]="","",IF(Tasks[[#This Row],[_Res2Row]]&gt;0,INDEX(res_Name,Tasks[[#This Row],[_Res2Row]]),TRIM(LEFT(Tasks[[#This Row],[_Res2Text]],FIND("[",Tasks[[#This Row],[_Res2Text]]&amp;"[")-1))))</f>
        <v/>
      </c>
      <c r="DP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1" s="42" t="n">
        <f aca="false">IF(OR(NOT(Tasks[[#This Row],[_IsLeaf]]=1),Tasks[[#This Row],[_Res2Row]]=0),0,N(Tasks[[#This Row],[_Days]])*HoursPerDay*IF(Tasks[[#This Row],[_Res2Units]]="",DefaultUnits,Tasks[[#This Row],[_Res2Units]]))</f>
        <v>0</v>
      </c>
      <c r="DR61" s="42" t="n">
        <f aca="false">IF(AND(AND(Tasks[[#This Row],[_IsLeaf]]=1,Tasks[[#This Row],[_LeafTotalWork]]&gt;0),Tasks[[#This Row],[_Res2Work]]&gt;0),Tasks[[#This Row],[_Res2Work]]/(Tasks[[#This Row],[_FinishWorkday]]-Tasks[[#This Row],[_StartWorkday]]+1),0)</f>
        <v>0</v>
      </c>
      <c r="DS61" s="42" t="n">
        <f aca="false">Tasks[[#This Row],[_Res2WorkPerWD]]*MAX(0,Tasks[[#This Row],[_StartWorkday]]-1)</f>
        <v>0</v>
      </c>
      <c r="DT61" s="42" t="n">
        <f aca="false">Tasks[[#This Row],[_Res2Work]]*Tasks[[#This Row],[_LeafProgress]]</f>
        <v>0</v>
      </c>
      <c r="DU61" s="42" t="str">
        <f aca="false">IF(Tasks[[#This Row],[_Res3Text]]="","",IF(Tasks[[#This Row],[_Res3Row]]&gt;0,INDEX(res_Name,Tasks[[#This Row],[_Res3Row]]),TRIM(LEFT(Tasks[[#This Row],[_Res3Text]],FIND("[",Tasks[[#This Row],[_Res3Text]]&amp;"[")-1))))</f>
        <v/>
      </c>
      <c r="DV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1" s="42" t="n">
        <f aca="false">IF(OR(NOT(Tasks[[#This Row],[_IsLeaf]]=1),Tasks[[#This Row],[_Res3Row]]=0),0,N(Tasks[[#This Row],[_Days]])*HoursPerDay*IF(Tasks[[#This Row],[_Res3Units]]="",DefaultUnits,Tasks[[#This Row],[_Res3Units]]))</f>
        <v>0</v>
      </c>
      <c r="DX61" s="42" t="n">
        <f aca="false">IF(AND(AND(Tasks[[#This Row],[_IsLeaf]]=1,Tasks[[#This Row],[_LeafTotalWork]]&gt;0),Tasks[[#This Row],[_Res3Work]]&gt;0),Tasks[[#This Row],[_Res3Work]]/(Tasks[[#This Row],[_FinishWorkday]]-Tasks[[#This Row],[_StartWorkday]]+1),0)</f>
        <v>0</v>
      </c>
      <c r="DY61" s="42" t="n">
        <f aca="false">Tasks[[#This Row],[_Res3WorkPerWD]]*MAX(0,Tasks[[#This Row],[_StartWorkday]]-1)</f>
        <v>0</v>
      </c>
      <c r="DZ61" s="42" t="n">
        <f aca="false">Tasks[[#This Row],[_Res3Work]]*Tasks[[#This Row],[_LeafProgress]]</f>
        <v>0</v>
      </c>
      <c r="EA61" s="42" t="str">
        <f aca="false">IF(Tasks[[#This Row],[_Res4Text]]="","",IF(Tasks[[#This Row],[_Res4Row]]&gt;0,INDEX(res_Name,Tasks[[#This Row],[_Res4Row]]),TRIM(LEFT(Tasks[[#This Row],[_Res4Text]],FIND("[",Tasks[[#This Row],[_Res4Text]]&amp;"[")-1))))</f>
        <v/>
      </c>
      <c r="EB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1" s="42" t="n">
        <f aca="false">IF(OR(NOT(Tasks[[#This Row],[_IsLeaf]]=1),Tasks[[#This Row],[_Res4Row]]=0),0,N(Tasks[[#This Row],[_Days]])*HoursPerDay*IF(Tasks[[#This Row],[_Res4Units]]="",DefaultUnits,Tasks[[#This Row],[_Res4Units]]))</f>
        <v>0</v>
      </c>
      <c r="ED61" s="42" t="n">
        <f aca="false">IF(AND(AND(Tasks[[#This Row],[_IsLeaf]]=1,Tasks[[#This Row],[_LeafTotalWork]]&gt;0),Tasks[[#This Row],[_Res4Work]]&gt;0),Tasks[[#This Row],[_Res4Work]]/(Tasks[[#This Row],[_FinishWorkday]]-Tasks[[#This Row],[_StartWorkday]]+1),0)</f>
        <v>0</v>
      </c>
      <c r="EE61" s="42" t="n">
        <f aca="false">Tasks[[#This Row],[_Res4WorkPerWD]]*MAX(0,Tasks[[#This Row],[_StartWorkday]]-1)</f>
        <v>0</v>
      </c>
      <c r="EF61" s="42" t="n">
        <f aca="false">Tasks[[#This Row],[_Res4Work]]*Tasks[[#This Row],[_LeafProgress]]</f>
        <v>0</v>
      </c>
      <c r="EG61" s="42" t="n">
        <f aca="false">IF(ISNUMBER(Tasks[[#This Row],[% Complete]]),Tasks[[#This Row],[% Complete]],IF(Tasks[[#This Row],[Stage]]="",0,IFERROR(INDEX(stg_Pct,MATCH(Tasks[[#This Row],[Stage]],stg_Name,0)),0)))</f>
        <v>0</v>
      </c>
      <c r="EH61" s="42" t="n">
        <f aca="false">IF(NOT(Tasks[[#This Row],[_IsLeaf]]=1),0,IF(N(Tasks[[#This Row],[Actual Finish]])&gt;0,1,MIN(1,Tasks[[#This Row],[_Pct]])))</f>
        <v>0</v>
      </c>
      <c r="EI61" s="42" t="n">
        <f aca="false">IF(OR(NOT(Tasks[[#This Row],[_IsLeaf]]=1),Tasks[[#This Row],[_Res1Row]]=0),0,N(Tasks[[#This Row],[_Days]])*HoursPerDay*IF(Tasks[[#This Row],[_Units1]]="",DefaultUnits,Tasks[[#This Row],[_Units1]]))</f>
        <v>0</v>
      </c>
      <c r="EJ61" s="42" t="n">
        <f aca="false">Tasks[[#This Row],[_LeafWork]]+Tasks[[#This Row],[_Res2Work]]+Tasks[[#This Row],[_Res3Work]]+Tasks[[#This Row],[_Res4Work]]</f>
        <v>0</v>
      </c>
      <c r="EK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1" s="42" t="n">
        <f aca="false">IF(NOT(Tasks[[#This Row],[_IsLeaf]]=1),0,MAX(_xlfn.MAXIFS(Tasks[_Row],Tasks[_Pred1UID],Tasks[[#This Row],[UID]]),_xlfn.MAXIFS(Tasks[_Row],Tasks[_Pred2UID],Tasks[[#This Row],[UID]]),_xlfn.MAXIFS(Tasks[_Row],Tasks[_Pred3UID],Tasks[[#This Row],[UID]]),_xlfn.MAXIFS(Tasks[_Row],Tasks[_Pred4UID],Tasks[[#This Row],[UID]])))</f>
        <v>0</v>
      </c>
      <c r="ET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1" s="89" t="str">
        <f aca="false">IF(NOT(Tasks[[#This Row],[_IsLeaf]]=1),"",IF(N(Tasks[[#This Row],[_Days]])&lt;=0,Tasks[[#This Row],[_LeafLateFinish]],WORKDAY.INTL(Tasks[[#This Row],[_LeafLateFinish]],-(Tasks[[#This Row],[_Days]]-1),WorkWeek,Holidays)))</f>
        <v/>
      </c>
      <c r="EW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1" s="88" t="b">
        <f aca="false">AND(Tasks[[#This Row],[_IsLeaf]]=1,Tasks[[#This Row],[_LeafProgress]]&lt;1,N(Tasks[[#This Row],[_LeafTotalSlack]])&lt;=CriticalSlackDays)</f>
        <v>0</v>
      </c>
      <c r="EY61" s="42" t="n">
        <f aca="false">IF(AND(Tasks[[#This Row],[_IsLeaf]]=1,Tasks[[#This Row],[_ConstraintCode]]=1,Tasks[[#This Row],[Mode]]&lt;&gt;"Manual",N(Tasks[[#This Row],[Actual Start]])=0),MAX(0,N(Tasks[[#This Row],[Free Slack]])),0)</f>
        <v>0</v>
      </c>
      <c r="EZ61" s="89" t="str">
        <f aca="false">IF(NOT(Tasks[[#This Row],[_IsLeaf]]=1),"",IF(Tasks[[#This Row],[_AlapShift]]=0,Tasks[[#This Row],[_LeafCalcStart]],WORKDAY.INTL(Tasks[[#This Row],[_LeafCalcStart]],Tasks[[#This Row],[_AlapShift]],WorkWeek,Holidays)))</f>
        <v/>
      </c>
      <c r="FA61" s="89" t="str">
        <f aca="false">IF(NOT(Tasks[[#This Row],[_IsLeaf]]=1),"",IF(Tasks[[#This Row],[_AlapShift]]=0,Tasks[[#This Row],[_LeafCalcFinish]],WORKDAY.INTL(Tasks[[#This Row],[_LeafCalcFinish]],Tasks[[#This Row],[_AlapShift]],WorkWeek,Holidays)))</f>
        <v/>
      </c>
      <c r="FB61" s="89" t="str">
        <f aca="false">IF(NOT(Tasks[[#This Row],[_IsLeaf]]=1),"",IF(Tasks[[#This Row],[_AlapShift]]=0,Tasks[[#This Row],[_LeafFcstStart]],WORKDAY.INTL(Tasks[[#This Row],[_LeafFcstStart]],Tasks[[#This Row],[_AlapShift]],WorkWeek,Holidays)))</f>
        <v/>
      </c>
      <c r="FC61" s="89" t="str">
        <f aca="false">IF(NOT(Tasks[[#This Row],[_IsLeaf]]=1),"",IF(Tasks[[#This Row],[_AlapShift]]=0,Tasks[[#This Row],[_LeafFcstFinish]],WORKDAY.INTL(Tasks[[#This Row],[_LeafFcstFinish]],Tasks[[#This Row],[_AlapShift]],WorkWeek,Holidays)))</f>
        <v/>
      </c>
      <c r="FD61" s="89" t="str">
        <f aca="false">IF(Tasks[[#This Row],[Task Name]]="","",IF(Tasks[[#This Row],[_IsSummary]],MIN(INDEX(Tasks[_ShownCalcStart],Tasks[[#This Row],[_Row]]+1):INDEX(Tasks[_ShownCalcStart],Tasks[[#This Row],[_Row]]+Tasks[[#This Row],[_Descendants]])),Tasks[[#This Row],[_ShownCalcStart]]))</f>
        <v/>
      </c>
      <c r="FE61" s="89" t="str">
        <f aca="false">IF(Tasks[[#This Row],[Task Name]]="","",IF(Tasks[[#This Row],[_IsSummary]],MAX(INDEX(Tasks[_ShownCalcFinish],Tasks[[#This Row],[_Row]]+1):INDEX(Tasks[_ShownCalcFinish],Tasks[[#This Row],[_Row]]+Tasks[[#This Row],[_Descendants]])),Tasks[[#This Row],[_ShownCalcFinish]]))</f>
        <v/>
      </c>
      <c r="FF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1" s="42" t="n">
        <f aca="false">IF(AND(Tasks[[#This Row],[_IsLeaf]]=1,Tasks[[#This Row],[_LeafTotalWork]]&gt;0),NETWORKDAYS.INTL(ProjectStart,Tasks[[#This Row],[_ShownFcstStart]],WorkWeek,Holidays),0)</f>
        <v>0</v>
      </c>
      <c r="FS61" s="42" t="n">
        <f aca="false">IF(AND(Tasks[[#This Row],[_IsLeaf]]=1,Tasks[[#This Row],[_LeafTotalWork]]&gt;0),MAX(Tasks[[#This Row],[_StartWorkday]],NETWORKDAYS.INTL(ProjectStart,Tasks[[#This Row],[_ShownFcstFinish]],WorkWeek,Holidays)),0)</f>
        <v>0</v>
      </c>
      <c r="FT61" s="42" t="n">
        <f aca="false">IF(AND(Tasks[[#This Row],[_IsLeaf]]=1,Tasks[[#This Row],[_LeafTotalWork]]&gt;0),Tasks[[#This Row],[_LeafWork]]/(Tasks[[#This Row],[_FinishWorkday]]-Tasks[[#This Row],[_StartWorkday]]+1),0)</f>
        <v>0</v>
      </c>
      <c r="FU61" s="42" t="n">
        <f aca="false">Tasks[[#This Row],[_WorkPerWorkday]]*(Tasks[[#This Row],[_StartWorkday]]-1)</f>
        <v>-0</v>
      </c>
      <c r="FV61" s="42" t="n">
        <f aca="false">IF(Tasks[[#This Row],[_IsLeaf]]=1,MAX(N(Tasks[[#This Row],[_Days]]),0.1),0)</f>
        <v>0</v>
      </c>
      <c r="FW61" s="42" t="n">
        <f aca="false">Tasks[[#This Row],[_WeightDur]]*Tasks[[#This Row],[_LeafProgress]]</f>
        <v>0</v>
      </c>
      <c r="FX61" s="42" t="n">
        <f aca="false">Tasks[[#This Row],[_WeightDur]]*Tasks[[#This Row],[_PlannedPct]]</f>
        <v>0</v>
      </c>
      <c r="FY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1" s="42" t="str">
        <f aca="false">IF(AND(Tasks[[#This Row],[_IsLeaf]]=1,N(Tasks[[#This Row],[_Days]])=0,Tasks[[#This Row],[_LeafProgress]]&lt;1),Tasks[[#This Row],[_ShownFcstFinish]]+Tasks[[#This Row],[_Row]]/100000,"")</f>
        <v/>
      </c>
      <c r="GA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1" s="42" t="str">
        <f aca="false">IF(Tasks[[#This Row],[Task Name]]="","",LEFT(Tasks[[#This Row],[WBS]],FIND(".",Tasks[[#This Row],[WBS]]&amp;".")-1))</f>
        <v/>
      </c>
      <c r="GC61" s="42" t="str">
        <f aca="false">IF(AND(Tasks[[#This Row],[Task Name]]&lt;&gt;"",Tasks[[#This Row],[_Level]]=1),Tasks[[#This Row],[_Row]],"")</f>
        <v/>
      </c>
      <c r="GD61" s="42" t="str">
        <f aca="false">IF(AND(Tasks[[#This Row],[_IsLeaf]]=1,N(Tasks[[#This Row],[_Days]])=0),Tasks[[#This Row],[Planned Finish]]+Tasks[[#This Row],[_Row]]/100000,"")</f>
        <v/>
      </c>
      <c r="GE61" s="42" t="str">
        <f aca="false">IF(AND(Tasks[[#This Row],[_IsLeaf]]=1,Tasks[[#This Row],[_LeafProgress]]&lt;1,OR(N(Tasks[[#This Row],[Finish Var]])&gt;0,Tasks[[#This Row],[Status]]="Late Start")),MAX(0,Tasks[[#This Row],[Finish Var]])+1-Tasks[[#This Row],[_Row]]/1000000,"")</f>
        <v/>
      </c>
      <c r="GF61" s="42" t="str">
        <f aca="false">IF(AND(Tasks[[#This Row],[_IsLeaf]]=1,N(Tasks[[#This Row],[Actual Start]])=0,Tasks[[#This Row],[_ShownFcstStart]]&gt;=StatusDate,Tasks[[#This Row],[_ShownFcstStart]]&lt;=LookaheadEnd),Tasks[[#This Row],[_ShownFcstStart]]+Tasks[[#This Row],[_Row]]/100000,"")</f>
        <v/>
      </c>
      <c r="GG61" s="42" t="str">
        <f aca="false">IF(AND(Tasks[[#This Row],[_IsLeaf]]=1,Tasks[[#This Row],[_LeafProgress]]&lt;1,Tasks[[#This Row],[_ShownFcstFinish]]&gt;=StatusDate,Tasks[[#This Row],[_ShownFcstFinish]]&lt;=LookaheadEnd),Tasks[[#This Row],[_ShownFcstFinish]]+Tasks[[#This Row],[_Row]]/100000,"")</f>
        <v/>
      </c>
      <c r="GH61" s="42" t="str">
        <f aca="false">IF(Tasks[[#This Row],[_LeafCritical]],Tasks[[#This Row],[_ShownFcstStart]]+Tasks[[#This Row],[_Row]]/100000,"")</f>
        <v/>
      </c>
      <c r="GI61" s="42" t="n">
        <f aca="false">Tasks[[#This Row],[_LeafWork]]*Tasks[[#This Row],[_LeafProgress]]</f>
        <v>0</v>
      </c>
      <c r="GJ61" s="89" t="str">
        <f aca="false">IF(AND(Tasks[[#This Row],[_IsLeaf]]=1,Tasks[[#This Row],[_LeafProgress]]&gt;=1),IF(N(Tasks[[#This Row],[Actual Finish]])&gt;0,Tasks[[#This Row],[Actual Finish]],Tasks[[#This Row],[_ShownFcstFinish]]),"")</f>
        <v/>
      </c>
      <c r="GK61" s="42" t="n">
        <f aca="false">IF(Tasks[[#This Row],[_IsLeaf]]=1,N(Tasks[[#This Row],[Story Points]]),0)</f>
        <v>0</v>
      </c>
      <c r="GL61" s="42" t="str">
        <f aca="false">""</f>
        <v/>
      </c>
      <c r="GM61" s="88" t="b">
        <f aca="false">IF(Tasks[[#This Row],[Task Name]]="",FALSE(),AND(Tasks[[#This Row],[_IsLeaf]]=1,N(Tasks[[#This Row],[_Days]])=0))</f>
        <v>0</v>
      </c>
      <c r="GN61" s="89" t="n">
        <f aca="false">IF(Tasks[[#This Row],[Task Name]]="",0,IF(AND(Tasks[[#This Row],[_IsLeaf]]=1,NOT(Tasks[[#This Row],[_IsMilestone]]),N(Tasks[[#This Row],[Progress]])&gt;0),Tasks[[#This Row],[Start]],0))</f>
        <v>0</v>
      </c>
      <c r="GO61" s="89" t="n">
        <f aca="false">IF(Tasks[[#This Row],[_DoneFrom]]=0,0,IF(Tasks[[#This Row],[Progress]]&gt;=1,Tasks[[#This Row],[Finish]],MAX(Tasks[[#This Row],[_DoneFrom]],Tasks[[#This Row],[Start]]+ROUND((Tasks[[#This Row],[Finish]]-Tasks[[#This Row],[Start]]+1)*Tasks[[#This Row],[Progress]],0)-1)))</f>
        <v>0</v>
      </c>
      <c r="GP61" s="89" t="n">
        <f aca="false">IF(Tasks[[#This Row],[Task Name]]="",0,IF(OR(NOT(Tasks[[#This Row],[_IsLeaf]]=1),Tasks[[#This Row],[_IsMilestone]],N(Tasks[[#This Row],[Progress]])&gt;=1),0,IF(Tasks[[#This Row],[_DoneTo]]&gt;0,Tasks[[#This Row],[_DoneTo]]+1,Tasks[[#This Row],[Start]])))</f>
        <v>0</v>
      </c>
      <c r="GQ61" s="89" t="n">
        <f aca="false">IF(Tasks[[#This Row],[_RemFrom]]=0,0,Tasks[[#This Row],[Finish]])</f>
        <v>0</v>
      </c>
      <c r="GR61" s="88" t="b">
        <f aca="false">IF(Tasks[[#This Row],[Task Name]]="",FALSE(),OR(NOT(BaselineSet),N(Tasks[[#This Row],[Baseline Start]])&gt;0))</f>
        <v>0</v>
      </c>
      <c r="GS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1" s="90" t="str">
        <f aca="false">IF(Tasks[[#This Row],[_IsLeaf]]=1,Tasks[[#This Row],[_Row]],"")</f>
        <v/>
      </c>
      <c r="GW61" s="90" t="str">
        <f aca="false">IFERROR(INDEX(Tasks[UID],SMALL(Tasks[_PickKey],Tasks[[#This Row],[_Row]]))&amp;" "&amp;INDEX(Tasks[Task Name],SMALL(Tasks[_PickKey],Tasks[[#This Row],[_Row]])),"")</f>
        <v/>
      </c>
      <c r="GX61" s="42" t="str">
        <f aca="false">IF(Tasks[[#This Row],[Task Name]]="","",IF(Tasks[[#This Row],[_IsSummary]],NETWORKDAYS.INTL(Tasks[[#This Row],[Start]],Tasks[[#This Row],[Finish]],WorkWeek,Holidays),N(Tasks[[#This Row],[_Days]])))</f>
        <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3"/>
      <c r="U62" s="23"/>
      <c r="V62" s="83"/>
      <c r="W62" s="23"/>
      <c r="X62" s="83"/>
      <c r="Y62" s="23"/>
      <c r="Z62" s="83"/>
      <c r="AA62" s="23"/>
      <c r="AB62" s="23"/>
      <c r="AC62" s="7"/>
      <c r="AD62" s="7"/>
      <c r="AE62" s="62" t="str">
        <f aca="false">IF(Tasks[[#This Row],[Task Name]]="","",IF(Tasks[[#This Row],[_IsSummary]],MIN(INDEX(Tasks[_ShownFcstStart],Tasks[[#This Row],[_Row]]+1):INDEX(Tasks[_ShownFcstStart],Tasks[[#This Row],[_Row]]+Tasks[[#This Row],[_Descendants]])),Tasks[[#This Row],[_ShownFcstStart]]))</f>
        <v/>
      </c>
      <c r="AF62" s="62"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2" s="7"/>
      <c r="AK62" s="22"/>
      <c r="AL62" s="23"/>
      <c r="AM62" s="7"/>
      <c r="AN62" s="46"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2" t="str">
        <f aca="false">IF(Tasks[[#This Row],[Task Name]]="","",IF(N(Tasks[[#This Row],[Baseline Start]])&gt;0,Tasks[[#This Row],[Baseline Start]],Tasks[[#This Row],[_CalcStart]]))</f>
        <v/>
      </c>
      <c r="AR62" s="62" t="str">
        <f aca="false">IF(Tasks[[#This Row],[Task Name]]="","",IF(N(Tasks[[#This Row],[Baseline Finish]])&gt;0,Tasks[[#This Row],[Baseline Finish]],Tasks[[#This Row],[_CalcFinish]]))</f>
        <v/>
      </c>
      <c r="AS62" s="46" t="str">
        <f aca="false">IF(Tasks[[#This Row],[Task Name]]="","",IF(Tasks[[#This Row],[Start]]&gt;=Tasks[[#This Row],[Planned Start]],NETWORKDAYS.INTL(Tasks[[#This Row],[Planned Start]],Tasks[[#This Row],[Start]],WorkWeek,Holidays)-1,1-NETWORKDAYS.INTL(Tasks[[#This Row],[Start]],Tasks[[#This Row],[Planned Start]],WorkWeek,Holidays)))</f>
        <v/>
      </c>
      <c r="AT62" s="62" t="str">
        <f aca="false">IF(Tasks[[#This Row],[Task Name]]="","",IF(Tasks[[#This Row],[_IsSummary]],MIN(INDEX(Tasks[_LeafLateStart],Tasks[[#This Row],[_Row]]+1):INDEX(Tasks[_LeafLateStart],Tasks[[#This Row],[_Row]]+Tasks[[#This Row],[_Descendants]])),Tasks[[#This Row],[_LeafLateStart]]))</f>
        <v/>
      </c>
      <c r="AU62" s="62" t="str">
        <f aca="false">IF(Tasks[[#This Row],[Task Name]]="","",IF(Tasks[[#This Row],[_IsSummary]],MAX(INDEX(Tasks[_LeafLateFinish],Tasks[[#This Row],[_Row]]+1):INDEX(Tasks[_LeafLateFinish],Tasks[[#This Row],[_Row]]+Tasks[[#This Row],[_Descendants]])),Tasks[[#This Row],[_LeafLateFinish]]))</f>
        <v/>
      </c>
      <c r="AV62" s="46"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4"/>
      <c r="BA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5"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6"/>
      <c r="BJ62" s="22"/>
      <c r="BK62" s="46" t="str">
        <f aca="false">IF(OR(Tasks[[#This Row],[Task Name]]="",Tasks[[#This Row],[Baseline Duration]]=""),"",Tasks[[#This Row],[_SpanDays]]-N(Tasks[[#This Row],[Baseline Duration]]))</f>
        <v/>
      </c>
      <c r="BL62" s="85" t="str">
        <f aca="false">IF(OR(Tasks[[#This Row],[Task Name]]="",Tasks[[#This Row],[Baseline Work]]=""),"",Tasks[[#This Row],[Work]]-N(Tasks[[#This Row],[Baseline Work]]))</f>
        <v/>
      </c>
      <c r="BM62" s="62" t="str">
        <f aca="false">IF(Tasks[[#This Row],[Task Name]]="","",IF(OR(TakeBaseline="Yes",N(Tasks[[#This Row],[Baseline Start]])=0),Tasks[[#This Row],[Start]],Tasks[[#This Row],[Baseline Start]]))</f>
        <v/>
      </c>
      <c r="BN62" s="62"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5" t="str">
        <f aca="false">IF(Tasks[[#This Row],[Task Name]]="","",IF(OR(TakeBaseline="Yes",N(Tasks[[#This Row],[Baseline Work]])=0),Tasks[[#This Row],[Work]],Tasks[[#This Row],[Baseline Work]]))</f>
        <v/>
      </c>
      <c r="BQ62" s="7"/>
      <c r="BR62" s="7"/>
      <c r="BS62" s="22"/>
      <c r="BT62" s="87"/>
      <c r="BU62" s="42" t="str">
        <f aca="false">IF(Tasks[[#This Row],[Task Name]]="","",MAX(1,N(Tasks[[#This Row],[Level]])))</f>
        <v/>
      </c>
      <c r="BV62" s="42" t="n">
        <f aca="false">ROW()-ROW(Tasks[[#Headers],[ID]])</f>
        <v>57</v>
      </c>
      <c r="BW62" s="42" t="n">
        <f aca="false">IF(OR(Tasks[[#This Row],[Task Name]]="",Tasks[[#This Row],[_Level]]&lt;=1),0,IFERROR(LOOKUP(2,1/(Tasks[[#Headers],[_Level]]:Tasks[[#This Row],[_Level]]=Tasks[[#This Row],[_Level]]-1),ROW(Tasks[[#Headers],[_Level]]:Tasks[[#This Row],[_Level]])),0))</f>
        <v>0</v>
      </c>
      <c r="BX62" s="42" t="n">
        <f aca="false">IFERROR(N(INDEX(Tasks[_Level],Tasks[[#This Row],[_Row]]+1)),0)</f>
        <v>0</v>
      </c>
      <c r="BY62" s="88" t="b">
        <f aca="false">AND(Tasks[[#This Row],[Task Name]]&lt;&gt;"",Tasks[[#This Row],[_NextLevel]]&gt;Tasks[[#This Row],[_Level]])</f>
        <v>0</v>
      </c>
      <c r="BZ62" s="42" t="n">
        <f aca="false">IF(Tasks[[#This Row],[_IsSummary]],COUNTIF(Tasks[WBS],Tasks[[#This Row],[WBS]]&amp;".*"),0)</f>
        <v>0</v>
      </c>
      <c r="CA62" s="42" t="n">
        <f aca="false">IF(AND(Tasks[[#This Row],[Task Name]]&lt;&gt;"",NOT(Tasks[[#This Row],[_IsSummary]])),1,0)</f>
        <v>0</v>
      </c>
      <c r="CB62" s="42" t="n">
        <f aca="false">IF(N(Tasks[[#This Row],[_Pred1UID]])=0,0,IFERROR(MATCH(Tasks[[#This Row],[_Pred1UID]],Tasks[UID],0),-1))</f>
        <v>0</v>
      </c>
      <c r="CC62" s="42" t="n">
        <f aca="false">IF(N(Tasks[[#This Row],[_Pred2UID]])=0,0,IFERROR(MATCH(Tasks[[#This Row],[_Pred2UID]],Tasks[UID],0),-1))</f>
        <v>0</v>
      </c>
      <c r="CD62" s="42" t="n">
        <f aca="false">IF(N(Tasks[[#This Row],[_Pred3UID]])=0,0,IFERROR(MATCH(Tasks[[#This Row],[_Pred3UID]],Tasks[UID],0),-1))</f>
        <v>0</v>
      </c>
      <c r="CE62" s="42" t="n">
        <f aca="false">IF(N(Tasks[[#This Row],[_Pred4UID]])=0,0,IFERROR(MATCH(Tasks[[#This Row],[_Pred4UID]],Tasks[UID],0),-1))</f>
        <v>0</v>
      </c>
      <c r="CF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2" s="89" t="n">
        <f aca="false">IF(OR(Tasks[[#This Row],[_ConstraintCode]]=2,Tasks[[#This Row],[_ConstraintCode]]=3,Tasks[[#This Row],[_ConstraintCode]]=4,Tasks[[#This Row],[_ConstraintCode]]=6),Tasks[[#This Row],[_ConstraintStart]],0)</f>
        <v>0</v>
      </c>
      <c r="CI62" s="89" t="n">
        <f aca="false">IF(OR(Tasks[[#This Row],[_ConstraintCode]]=2,Tasks[[#This Row],[_ConstraintCode]]=3,Tasks[[#This Row],[_ConstraintCode]]=5,Tasks[[#This Row],[_ConstraintCode]]=7),Tasks[[#This Row],[_ConstraintStart]],2958465)</f>
        <v>2958465</v>
      </c>
      <c r="CJ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2" s="89" t="str">
        <f aca="false">IF(NOT(Tasks[[#This Row],[_IsLeaf]]=1),"",IF(N(Tasks[[#This Row],[_Days]])&lt;=0,Tasks[[#This Row],[_LeafCalcStart]],WORKDAY.INTL(Tasks[[#This Row],[_LeafCalcStart]],Tasks[[#This Row],[_Days]]-1,WorkWeek,Holidays)))</f>
        <v/>
      </c>
      <c r="CL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2" s="42" t="str">
        <f aca="false">IF(Tasks[[#This Row],[_Predecessors]]="","",TRIM(MID(SUBSTITUTE(SUBSTITUTE(SUBSTITUTE(UPPER(Tasks[[#This Row],[_Predecessors]]),";",",")," ",""),",",REPT(" ",99)),1,99)))</f>
        <v/>
      </c>
      <c r="CO62" s="42" t="str">
        <f aca="false">IF(Tasks[[#This Row],[_Pred1Text]]="","",IFERROR(VALUE(LEFT(Tasks[[#This Row],[_Pred1Text]],MIN(FIND("F",Tasks[[#This Row],[_Pred1Text]]&amp;"F"),FIND("S",Tasks[[#This Row],[_Pred1Text]]&amp;"S"),FIND("+",Tasks[[#This Row],[_Pred1Text]]&amp;"+"),FIND("-",Tasks[[#This Row],[_Pred1Text]]&amp;"-"))-1)),""))</f>
        <v/>
      </c>
      <c r="CP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2" s="42" t="str">
        <f aca="false">IF(Tasks[[#This Row],[_Pred1Text]]="","",TRIM(MID(SUBSTITUTE(SUBSTITUTE(SUBSTITUTE(UPPER(Tasks[[#This Row],[_Predecessors]]),";",",")," ",""),",",REPT(" ",99)),100,99)))</f>
        <v/>
      </c>
      <c r="CS62" s="42" t="str">
        <f aca="false">IF(Tasks[[#This Row],[_Pred2Text]]="","",IFERROR(VALUE(LEFT(Tasks[[#This Row],[_Pred2Text]],MIN(FIND("F",Tasks[[#This Row],[_Pred2Text]]&amp;"F"),FIND("S",Tasks[[#This Row],[_Pred2Text]]&amp;"S"),FIND("+",Tasks[[#This Row],[_Pred2Text]]&amp;"+"),FIND("-",Tasks[[#This Row],[_Pred2Text]]&amp;"-"))-1)),""))</f>
        <v/>
      </c>
      <c r="CT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2" s="42" t="str">
        <f aca="false">IF(Tasks[[#This Row],[_Pred2Text]]="","",TRIM(MID(SUBSTITUTE(SUBSTITUTE(SUBSTITUTE(UPPER(Tasks[[#This Row],[_Predecessors]]),";",",")," ",""),",",REPT(" ",99)),199,99)))</f>
        <v/>
      </c>
      <c r="CW62" s="42" t="str">
        <f aca="false">IF(Tasks[[#This Row],[_Pred3Text]]="","",IFERROR(VALUE(LEFT(Tasks[[#This Row],[_Pred3Text]],MIN(FIND("F",Tasks[[#This Row],[_Pred3Text]]&amp;"F"),FIND("S",Tasks[[#This Row],[_Pred3Text]]&amp;"S"),FIND("+",Tasks[[#This Row],[_Pred3Text]]&amp;"+"),FIND("-",Tasks[[#This Row],[_Pred3Text]]&amp;"-"))-1)),""))</f>
        <v/>
      </c>
      <c r="CX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2" s="42" t="str">
        <f aca="false">IF(Tasks[[#This Row],[_Pred3Text]]="","",TRIM(MID(SUBSTITUTE(SUBSTITUTE(SUBSTITUTE(UPPER(Tasks[[#This Row],[_Predecessors]]),";",",")," ",""),",",REPT(" ",99)),298,99)))</f>
        <v/>
      </c>
      <c r="DA62" s="42" t="str">
        <f aca="false">IF(Tasks[[#This Row],[_Pred4Text]]="","",IFERROR(VALUE(LEFT(Tasks[[#This Row],[_Pred4Text]],MIN(FIND("F",Tasks[[#This Row],[_Pred4Text]]&amp;"F"),FIND("S",Tasks[[#This Row],[_Pred4Text]]&amp;"S"),FIND("+",Tasks[[#This Row],[_Pred4Text]]&amp;"+"),FIND("-",Tasks[[#This Row],[_Pred4Text]]&amp;"-"))-1)),""))</f>
        <v/>
      </c>
      <c r="DB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2" s="42" t="str">
        <f aca="false">IF(OR(Tasks[[#This Row],[Task Name]]="",Tasks[[#This Row],[_Resources]]=""),"",TRIM(MID(SUBSTITUTE(Tasks[[#This Row],[_Resources]],",",REPT(" ",99)),1,99)))</f>
        <v/>
      </c>
      <c r="DE62" s="42" t="str">
        <f aca="false">IF(Tasks[[#This Row],[_Res1Text]]="","",TRIM(MID(SUBSTITUTE(Tasks[[#This Row],[_Resources]],",",REPT(" ",99)),100,99)))</f>
        <v/>
      </c>
      <c r="DF62" s="42" t="str">
        <f aca="false">IF(Tasks[[#This Row],[_Res2Text]]="","",TRIM(MID(SUBSTITUTE(Tasks[[#This Row],[_Resources]],",",REPT(" ",99)),199,99)))</f>
        <v/>
      </c>
      <c r="DG62" s="42" t="str">
        <f aca="false">IF(Tasks[[#This Row],[_Res3Text]]="","",TRIM(MID(SUBSTITUTE(Tasks[[#This Row],[_Resources]],",",REPT(" ",99)),298,99)))</f>
        <v/>
      </c>
      <c r="DH62" s="42" t="n">
        <f aca="false">IF(Tasks[[#This Row],[_Res1Text]]="",0,IFERROR(MATCH(TRIM(LEFT(Tasks[[#This Row],[_Res1Text]],FIND("[",Tasks[[#This Row],[_Res1Text]]&amp;"[")-1)),res_Name,0),IFERROR(MATCH(TRIM(LEFT(Tasks[[#This Row],[_Res1Text]],FIND("[",Tasks[[#This Row],[_Res1Text]]&amp;"[")-1)),res_Initials,0),0)))</f>
        <v>0</v>
      </c>
      <c r="DI62" s="42" t="n">
        <f aca="false">IF(Tasks[[#This Row],[_Res2Text]]="",0,IFERROR(MATCH(TRIM(LEFT(Tasks[[#This Row],[_Res2Text]],FIND("[",Tasks[[#This Row],[_Res2Text]]&amp;"[")-1)),res_Name,0),IFERROR(MATCH(TRIM(LEFT(Tasks[[#This Row],[_Res2Text]],FIND("[",Tasks[[#This Row],[_Res2Text]]&amp;"[")-1)),res_Initials,0),0)))</f>
        <v>0</v>
      </c>
      <c r="DJ62" s="42" t="n">
        <f aca="false">IF(Tasks[[#This Row],[_Res3Text]]="",0,IFERROR(MATCH(TRIM(LEFT(Tasks[[#This Row],[_Res3Text]],FIND("[",Tasks[[#This Row],[_Res3Text]]&amp;"[")-1)),res_Name,0),IFERROR(MATCH(TRIM(LEFT(Tasks[[#This Row],[_Res3Text]],FIND("[",Tasks[[#This Row],[_Res3Text]]&amp;"[")-1)),res_Initials,0),0)))</f>
        <v>0</v>
      </c>
      <c r="DK62" s="42" t="n">
        <f aca="false">IF(Tasks[[#This Row],[_Res4Text]]="",0,IFERROR(MATCH(TRIM(LEFT(Tasks[[#This Row],[_Res4Text]],FIND("[",Tasks[[#This Row],[_Res4Text]]&amp;"[")-1)),res_Name,0),IFERROR(MATCH(TRIM(LEFT(Tasks[[#This Row],[_Res4Text]],FIND("[",Tasks[[#This Row],[_Res4Text]]&amp;"[")-1)),res_Initials,0),0)))</f>
        <v>0</v>
      </c>
      <c r="DL62" s="42" t="str">
        <f aca="false">IF(Tasks[[#This Row],[_Res1Text]]="","",IF(Tasks[[#This Row],[_Res1Row]]&gt;0,INDEX(res_Name,Tasks[[#This Row],[_Res1Row]]),TRIM(LEFT(Tasks[[#This Row],[_Res1Text]],FIND("[",Tasks[[#This Row],[_Res1Text]]&amp;"[")-1))))</f>
        <v/>
      </c>
      <c r="DM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2" s="42" t="n">
        <f aca="false">IF(NOT(Tasks[[#This Row],[_IsLeaf]]=1),0,(Tasks[[#This Row],[_Resource1]]&lt;&gt;"")+(Tasks[[#This Row],[_Res2]]&lt;&gt;"")+(Tasks[[#This Row],[_Res3]]&lt;&gt;"")+(Tasks[[#This Row],[_Res4]]&lt;&gt;""))</f>
        <v>0</v>
      </c>
      <c r="DO62" s="42" t="str">
        <f aca="false">IF(Tasks[[#This Row],[_Res2Text]]="","",IF(Tasks[[#This Row],[_Res2Row]]&gt;0,INDEX(res_Name,Tasks[[#This Row],[_Res2Row]]),TRIM(LEFT(Tasks[[#This Row],[_Res2Text]],FIND("[",Tasks[[#This Row],[_Res2Text]]&amp;"[")-1))))</f>
        <v/>
      </c>
      <c r="DP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2" s="42" t="n">
        <f aca="false">IF(OR(NOT(Tasks[[#This Row],[_IsLeaf]]=1),Tasks[[#This Row],[_Res2Row]]=0),0,N(Tasks[[#This Row],[_Days]])*HoursPerDay*IF(Tasks[[#This Row],[_Res2Units]]="",DefaultUnits,Tasks[[#This Row],[_Res2Units]]))</f>
        <v>0</v>
      </c>
      <c r="DR62" s="42" t="n">
        <f aca="false">IF(AND(AND(Tasks[[#This Row],[_IsLeaf]]=1,Tasks[[#This Row],[_LeafTotalWork]]&gt;0),Tasks[[#This Row],[_Res2Work]]&gt;0),Tasks[[#This Row],[_Res2Work]]/(Tasks[[#This Row],[_FinishWorkday]]-Tasks[[#This Row],[_StartWorkday]]+1),0)</f>
        <v>0</v>
      </c>
      <c r="DS62" s="42" t="n">
        <f aca="false">Tasks[[#This Row],[_Res2WorkPerWD]]*MAX(0,Tasks[[#This Row],[_StartWorkday]]-1)</f>
        <v>0</v>
      </c>
      <c r="DT62" s="42" t="n">
        <f aca="false">Tasks[[#This Row],[_Res2Work]]*Tasks[[#This Row],[_LeafProgress]]</f>
        <v>0</v>
      </c>
      <c r="DU62" s="42" t="str">
        <f aca="false">IF(Tasks[[#This Row],[_Res3Text]]="","",IF(Tasks[[#This Row],[_Res3Row]]&gt;0,INDEX(res_Name,Tasks[[#This Row],[_Res3Row]]),TRIM(LEFT(Tasks[[#This Row],[_Res3Text]],FIND("[",Tasks[[#This Row],[_Res3Text]]&amp;"[")-1))))</f>
        <v/>
      </c>
      <c r="DV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2" s="42" t="n">
        <f aca="false">IF(OR(NOT(Tasks[[#This Row],[_IsLeaf]]=1),Tasks[[#This Row],[_Res3Row]]=0),0,N(Tasks[[#This Row],[_Days]])*HoursPerDay*IF(Tasks[[#This Row],[_Res3Units]]="",DefaultUnits,Tasks[[#This Row],[_Res3Units]]))</f>
        <v>0</v>
      </c>
      <c r="DX62" s="42" t="n">
        <f aca="false">IF(AND(AND(Tasks[[#This Row],[_IsLeaf]]=1,Tasks[[#This Row],[_LeafTotalWork]]&gt;0),Tasks[[#This Row],[_Res3Work]]&gt;0),Tasks[[#This Row],[_Res3Work]]/(Tasks[[#This Row],[_FinishWorkday]]-Tasks[[#This Row],[_StartWorkday]]+1),0)</f>
        <v>0</v>
      </c>
      <c r="DY62" s="42" t="n">
        <f aca="false">Tasks[[#This Row],[_Res3WorkPerWD]]*MAX(0,Tasks[[#This Row],[_StartWorkday]]-1)</f>
        <v>0</v>
      </c>
      <c r="DZ62" s="42" t="n">
        <f aca="false">Tasks[[#This Row],[_Res3Work]]*Tasks[[#This Row],[_LeafProgress]]</f>
        <v>0</v>
      </c>
      <c r="EA62" s="42" t="str">
        <f aca="false">IF(Tasks[[#This Row],[_Res4Text]]="","",IF(Tasks[[#This Row],[_Res4Row]]&gt;0,INDEX(res_Name,Tasks[[#This Row],[_Res4Row]]),TRIM(LEFT(Tasks[[#This Row],[_Res4Text]],FIND("[",Tasks[[#This Row],[_Res4Text]]&amp;"[")-1))))</f>
        <v/>
      </c>
      <c r="EB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2" s="42" t="n">
        <f aca="false">IF(OR(NOT(Tasks[[#This Row],[_IsLeaf]]=1),Tasks[[#This Row],[_Res4Row]]=0),0,N(Tasks[[#This Row],[_Days]])*HoursPerDay*IF(Tasks[[#This Row],[_Res4Units]]="",DefaultUnits,Tasks[[#This Row],[_Res4Units]]))</f>
        <v>0</v>
      </c>
      <c r="ED62" s="42" t="n">
        <f aca="false">IF(AND(AND(Tasks[[#This Row],[_IsLeaf]]=1,Tasks[[#This Row],[_LeafTotalWork]]&gt;0),Tasks[[#This Row],[_Res4Work]]&gt;0),Tasks[[#This Row],[_Res4Work]]/(Tasks[[#This Row],[_FinishWorkday]]-Tasks[[#This Row],[_StartWorkday]]+1),0)</f>
        <v>0</v>
      </c>
      <c r="EE62" s="42" t="n">
        <f aca="false">Tasks[[#This Row],[_Res4WorkPerWD]]*MAX(0,Tasks[[#This Row],[_StartWorkday]]-1)</f>
        <v>0</v>
      </c>
      <c r="EF62" s="42" t="n">
        <f aca="false">Tasks[[#This Row],[_Res4Work]]*Tasks[[#This Row],[_LeafProgress]]</f>
        <v>0</v>
      </c>
      <c r="EG62" s="42" t="n">
        <f aca="false">IF(ISNUMBER(Tasks[[#This Row],[% Complete]]),Tasks[[#This Row],[% Complete]],IF(Tasks[[#This Row],[Stage]]="",0,IFERROR(INDEX(stg_Pct,MATCH(Tasks[[#This Row],[Stage]],stg_Name,0)),0)))</f>
        <v>0</v>
      </c>
      <c r="EH62" s="42" t="n">
        <f aca="false">IF(NOT(Tasks[[#This Row],[_IsLeaf]]=1),0,IF(N(Tasks[[#This Row],[Actual Finish]])&gt;0,1,MIN(1,Tasks[[#This Row],[_Pct]])))</f>
        <v>0</v>
      </c>
      <c r="EI62" s="42" t="n">
        <f aca="false">IF(OR(NOT(Tasks[[#This Row],[_IsLeaf]]=1),Tasks[[#This Row],[_Res1Row]]=0),0,N(Tasks[[#This Row],[_Days]])*HoursPerDay*IF(Tasks[[#This Row],[_Units1]]="",DefaultUnits,Tasks[[#This Row],[_Units1]]))</f>
        <v>0</v>
      </c>
      <c r="EJ62" s="42" t="n">
        <f aca="false">Tasks[[#This Row],[_LeafWork]]+Tasks[[#This Row],[_Res2Work]]+Tasks[[#This Row],[_Res3Work]]+Tasks[[#This Row],[_Res4Work]]</f>
        <v>0</v>
      </c>
      <c r="EK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2" s="42" t="n">
        <f aca="false">IF(NOT(Tasks[[#This Row],[_IsLeaf]]=1),0,MAX(_xlfn.MAXIFS(Tasks[_Row],Tasks[_Pred1UID],Tasks[[#This Row],[UID]]),_xlfn.MAXIFS(Tasks[_Row],Tasks[_Pred2UID],Tasks[[#This Row],[UID]]),_xlfn.MAXIFS(Tasks[_Row],Tasks[_Pred3UID],Tasks[[#This Row],[UID]]),_xlfn.MAXIFS(Tasks[_Row],Tasks[_Pred4UID],Tasks[[#This Row],[UID]])))</f>
        <v>0</v>
      </c>
      <c r="ET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2" s="89" t="str">
        <f aca="false">IF(NOT(Tasks[[#This Row],[_IsLeaf]]=1),"",IF(N(Tasks[[#This Row],[_Days]])&lt;=0,Tasks[[#This Row],[_LeafLateFinish]],WORKDAY.INTL(Tasks[[#This Row],[_LeafLateFinish]],-(Tasks[[#This Row],[_Days]]-1),WorkWeek,Holidays)))</f>
        <v/>
      </c>
      <c r="EW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2" s="88" t="b">
        <f aca="false">AND(Tasks[[#This Row],[_IsLeaf]]=1,Tasks[[#This Row],[_LeafProgress]]&lt;1,N(Tasks[[#This Row],[_LeafTotalSlack]])&lt;=CriticalSlackDays)</f>
        <v>0</v>
      </c>
      <c r="EY62" s="42" t="n">
        <f aca="false">IF(AND(Tasks[[#This Row],[_IsLeaf]]=1,Tasks[[#This Row],[_ConstraintCode]]=1,Tasks[[#This Row],[Mode]]&lt;&gt;"Manual",N(Tasks[[#This Row],[Actual Start]])=0),MAX(0,N(Tasks[[#This Row],[Free Slack]])),0)</f>
        <v>0</v>
      </c>
      <c r="EZ62" s="89" t="str">
        <f aca="false">IF(NOT(Tasks[[#This Row],[_IsLeaf]]=1),"",IF(Tasks[[#This Row],[_AlapShift]]=0,Tasks[[#This Row],[_LeafCalcStart]],WORKDAY.INTL(Tasks[[#This Row],[_LeafCalcStart]],Tasks[[#This Row],[_AlapShift]],WorkWeek,Holidays)))</f>
        <v/>
      </c>
      <c r="FA62" s="89" t="str">
        <f aca="false">IF(NOT(Tasks[[#This Row],[_IsLeaf]]=1),"",IF(Tasks[[#This Row],[_AlapShift]]=0,Tasks[[#This Row],[_LeafCalcFinish]],WORKDAY.INTL(Tasks[[#This Row],[_LeafCalcFinish]],Tasks[[#This Row],[_AlapShift]],WorkWeek,Holidays)))</f>
        <v/>
      </c>
      <c r="FB62" s="89" t="str">
        <f aca="false">IF(NOT(Tasks[[#This Row],[_IsLeaf]]=1),"",IF(Tasks[[#This Row],[_AlapShift]]=0,Tasks[[#This Row],[_LeafFcstStart]],WORKDAY.INTL(Tasks[[#This Row],[_LeafFcstStart]],Tasks[[#This Row],[_AlapShift]],WorkWeek,Holidays)))</f>
        <v/>
      </c>
      <c r="FC62" s="89" t="str">
        <f aca="false">IF(NOT(Tasks[[#This Row],[_IsLeaf]]=1),"",IF(Tasks[[#This Row],[_AlapShift]]=0,Tasks[[#This Row],[_LeafFcstFinish]],WORKDAY.INTL(Tasks[[#This Row],[_LeafFcstFinish]],Tasks[[#This Row],[_AlapShift]],WorkWeek,Holidays)))</f>
        <v/>
      </c>
      <c r="FD62" s="89" t="str">
        <f aca="false">IF(Tasks[[#This Row],[Task Name]]="","",IF(Tasks[[#This Row],[_IsSummary]],MIN(INDEX(Tasks[_ShownCalcStart],Tasks[[#This Row],[_Row]]+1):INDEX(Tasks[_ShownCalcStart],Tasks[[#This Row],[_Row]]+Tasks[[#This Row],[_Descendants]])),Tasks[[#This Row],[_ShownCalcStart]]))</f>
        <v/>
      </c>
      <c r="FE62" s="89" t="str">
        <f aca="false">IF(Tasks[[#This Row],[Task Name]]="","",IF(Tasks[[#This Row],[_IsSummary]],MAX(INDEX(Tasks[_ShownCalcFinish],Tasks[[#This Row],[_Row]]+1):INDEX(Tasks[_ShownCalcFinish],Tasks[[#This Row],[_Row]]+Tasks[[#This Row],[_Descendants]])),Tasks[[#This Row],[_ShownCalcFinish]]))</f>
        <v/>
      </c>
      <c r="FF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2" s="42" t="n">
        <f aca="false">IF(AND(Tasks[[#This Row],[_IsLeaf]]=1,Tasks[[#This Row],[_LeafTotalWork]]&gt;0),NETWORKDAYS.INTL(ProjectStart,Tasks[[#This Row],[_ShownFcstStart]],WorkWeek,Holidays),0)</f>
        <v>0</v>
      </c>
      <c r="FS62" s="42" t="n">
        <f aca="false">IF(AND(Tasks[[#This Row],[_IsLeaf]]=1,Tasks[[#This Row],[_LeafTotalWork]]&gt;0),MAX(Tasks[[#This Row],[_StartWorkday]],NETWORKDAYS.INTL(ProjectStart,Tasks[[#This Row],[_ShownFcstFinish]],WorkWeek,Holidays)),0)</f>
        <v>0</v>
      </c>
      <c r="FT62" s="42" t="n">
        <f aca="false">IF(AND(Tasks[[#This Row],[_IsLeaf]]=1,Tasks[[#This Row],[_LeafTotalWork]]&gt;0),Tasks[[#This Row],[_LeafWork]]/(Tasks[[#This Row],[_FinishWorkday]]-Tasks[[#This Row],[_StartWorkday]]+1),0)</f>
        <v>0</v>
      </c>
      <c r="FU62" s="42" t="n">
        <f aca="false">Tasks[[#This Row],[_WorkPerWorkday]]*(Tasks[[#This Row],[_StartWorkday]]-1)</f>
        <v>-0</v>
      </c>
      <c r="FV62" s="42" t="n">
        <f aca="false">IF(Tasks[[#This Row],[_IsLeaf]]=1,MAX(N(Tasks[[#This Row],[_Days]]),0.1),0)</f>
        <v>0</v>
      </c>
      <c r="FW62" s="42" t="n">
        <f aca="false">Tasks[[#This Row],[_WeightDur]]*Tasks[[#This Row],[_LeafProgress]]</f>
        <v>0</v>
      </c>
      <c r="FX62" s="42" t="n">
        <f aca="false">Tasks[[#This Row],[_WeightDur]]*Tasks[[#This Row],[_PlannedPct]]</f>
        <v>0</v>
      </c>
      <c r="FY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2" s="42" t="str">
        <f aca="false">IF(AND(Tasks[[#This Row],[_IsLeaf]]=1,N(Tasks[[#This Row],[_Days]])=0,Tasks[[#This Row],[_LeafProgress]]&lt;1),Tasks[[#This Row],[_ShownFcstFinish]]+Tasks[[#This Row],[_Row]]/100000,"")</f>
        <v/>
      </c>
      <c r="GA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2" s="42" t="str">
        <f aca="false">IF(Tasks[[#This Row],[Task Name]]="","",LEFT(Tasks[[#This Row],[WBS]],FIND(".",Tasks[[#This Row],[WBS]]&amp;".")-1))</f>
        <v/>
      </c>
      <c r="GC62" s="42" t="str">
        <f aca="false">IF(AND(Tasks[[#This Row],[Task Name]]&lt;&gt;"",Tasks[[#This Row],[_Level]]=1),Tasks[[#This Row],[_Row]],"")</f>
        <v/>
      </c>
      <c r="GD62" s="42" t="str">
        <f aca="false">IF(AND(Tasks[[#This Row],[_IsLeaf]]=1,N(Tasks[[#This Row],[_Days]])=0),Tasks[[#This Row],[Planned Finish]]+Tasks[[#This Row],[_Row]]/100000,"")</f>
        <v/>
      </c>
      <c r="GE62" s="42" t="str">
        <f aca="false">IF(AND(Tasks[[#This Row],[_IsLeaf]]=1,Tasks[[#This Row],[_LeafProgress]]&lt;1,OR(N(Tasks[[#This Row],[Finish Var]])&gt;0,Tasks[[#This Row],[Status]]="Late Start")),MAX(0,Tasks[[#This Row],[Finish Var]])+1-Tasks[[#This Row],[_Row]]/1000000,"")</f>
        <v/>
      </c>
      <c r="GF62" s="42" t="str">
        <f aca="false">IF(AND(Tasks[[#This Row],[_IsLeaf]]=1,N(Tasks[[#This Row],[Actual Start]])=0,Tasks[[#This Row],[_ShownFcstStart]]&gt;=StatusDate,Tasks[[#This Row],[_ShownFcstStart]]&lt;=LookaheadEnd),Tasks[[#This Row],[_ShownFcstStart]]+Tasks[[#This Row],[_Row]]/100000,"")</f>
        <v/>
      </c>
      <c r="GG62" s="42" t="str">
        <f aca="false">IF(AND(Tasks[[#This Row],[_IsLeaf]]=1,Tasks[[#This Row],[_LeafProgress]]&lt;1,Tasks[[#This Row],[_ShownFcstFinish]]&gt;=StatusDate,Tasks[[#This Row],[_ShownFcstFinish]]&lt;=LookaheadEnd),Tasks[[#This Row],[_ShownFcstFinish]]+Tasks[[#This Row],[_Row]]/100000,"")</f>
        <v/>
      </c>
      <c r="GH62" s="42" t="str">
        <f aca="false">IF(Tasks[[#This Row],[_LeafCritical]],Tasks[[#This Row],[_ShownFcstStart]]+Tasks[[#This Row],[_Row]]/100000,"")</f>
        <v/>
      </c>
      <c r="GI62" s="42" t="n">
        <f aca="false">Tasks[[#This Row],[_LeafWork]]*Tasks[[#This Row],[_LeafProgress]]</f>
        <v>0</v>
      </c>
      <c r="GJ62" s="89" t="str">
        <f aca="false">IF(AND(Tasks[[#This Row],[_IsLeaf]]=1,Tasks[[#This Row],[_LeafProgress]]&gt;=1),IF(N(Tasks[[#This Row],[Actual Finish]])&gt;0,Tasks[[#This Row],[Actual Finish]],Tasks[[#This Row],[_ShownFcstFinish]]),"")</f>
        <v/>
      </c>
      <c r="GK62" s="42" t="n">
        <f aca="false">IF(Tasks[[#This Row],[_IsLeaf]]=1,N(Tasks[[#This Row],[Story Points]]),0)</f>
        <v>0</v>
      </c>
      <c r="GL62" s="42" t="str">
        <f aca="false">""</f>
        <v/>
      </c>
      <c r="GM62" s="88" t="b">
        <f aca="false">IF(Tasks[[#This Row],[Task Name]]="",FALSE(),AND(Tasks[[#This Row],[_IsLeaf]]=1,N(Tasks[[#This Row],[_Days]])=0))</f>
        <v>0</v>
      </c>
      <c r="GN62" s="89" t="n">
        <f aca="false">IF(Tasks[[#This Row],[Task Name]]="",0,IF(AND(Tasks[[#This Row],[_IsLeaf]]=1,NOT(Tasks[[#This Row],[_IsMilestone]]),N(Tasks[[#This Row],[Progress]])&gt;0),Tasks[[#This Row],[Start]],0))</f>
        <v>0</v>
      </c>
      <c r="GO62" s="89" t="n">
        <f aca="false">IF(Tasks[[#This Row],[_DoneFrom]]=0,0,IF(Tasks[[#This Row],[Progress]]&gt;=1,Tasks[[#This Row],[Finish]],MAX(Tasks[[#This Row],[_DoneFrom]],Tasks[[#This Row],[Start]]+ROUND((Tasks[[#This Row],[Finish]]-Tasks[[#This Row],[Start]]+1)*Tasks[[#This Row],[Progress]],0)-1)))</f>
        <v>0</v>
      </c>
      <c r="GP62" s="89" t="n">
        <f aca="false">IF(Tasks[[#This Row],[Task Name]]="",0,IF(OR(NOT(Tasks[[#This Row],[_IsLeaf]]=1),Tasks[[#This Row],[_IsMilestone]],N(Tasks[[#This Row],[Progress]])&gt;=1),0,IF(Tasks[[#This Row],[_DoneTo]]&gt;0,Tasks[[#This Row],[_DoneTo]]+1,Tasks[[#This Row],[Start]])))</f>
        <v>0</v>
      </c>
      <c r="GQ62" s="89" t="n">
        <f aca="false">IF(Tasks[[#This Row],[_RemFrom]]=0,0,Tasks[[#This Row],[Finish]])</f>
        <v>0</v>
      </c>
      <c r="GR62" s="88" t="b">
        <f aca="false">IF(Tasks[[#This Row],[Task Name]]="",FALSE(),OR(NOT(BaselineSet),N(Tasks[[#This Row],[Baseline Start]])&gt;0))</f>
        <v>0</v>
      </c>
      <c r="GS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2" s="90" t="str">
        <f aca="false">IF(Tasks[[#This Row],[_IsLeaf]]=1,Tasks[[#This Row],[_Row]],"")</f>
        <v/>
      </c>
      <c r="GW62" s="90" t="str">
        <f aca="false">IFERROR(INDEX(Tasks[UID],SMALL(Tasks[_PickKey],Tasks[[#This Row],[_Row]]))&amp;" "&amp;INDEX(Tasks[Task Name],SMALL(Tasks[_PickKey],Tasks[[#This Row],[_Row]])),"")</f>
        <v/>
      </c>
      <c r="GX62" s="42" t="str">
        <f aca="false">IF(Tasks[[#This Row],[Task Name]]="","",IF(Tasks[[#This Row],[_IsSummary]],NETWORKDAYS.INTL(Tasks[[#This Row],[Start]],Tasks[[#This Row],[Finish]],WorkWeek,Holidays),N(Tasks[[#This Row],[_Days]])))</f>
        <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3"/>
      <c r="U63" s="23"/>
      <c r="V63" s="83"/>
      <c r="W63" s="23"/>
      <c r="X63" s="83"/>
      <c r="Y63" s="23"/>
      <c r="Z63" s="83"/>
      <c r="AA63" s="23"/>
      <c r="AB63" s="23"/>
      <c r="AC63" s="7"/>
      <c r="AD63" s="7"/>
      <c r="AE63" s="62" t="str">
        <f aca="false">IF(Tasks[[#This Row],[Task Name]]="","",IF(Tasks[[#This Row],[_IsSummary]],MIN(INDEX(Tasks[_ShownFcstStart],Tasks[[#This Row],[_Row]]+1):INDEX(Tasks[_ShownFcstStart],Tasks[[#This Row],[_Row]]+Tasks[[#This Row],[_Descendants]])),Tasks[[#This Row],[_ShownFcstStart]]))</f>
        <v/>
      </c>
      <c r="AF63" s="62"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3" s="7"/>
      <c r="AK63" s="22"/>
      <c r="AL63" s="23"/>
      <c r="AM63" s="7"/>
      <c r="AN63" s="46"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2" t="str">
        <f aca="false">IF(Tasks[[#This Row],[Task Name]]="","",IF(N(Tasks[[#This Row],[Baseline Start]])&gt;0,Tasks[[#This Row],[Baseline Start]],Tasks[[#This Row],[_CalcStart]]))</f>
        <v/>
      </c>
      <c r="AR63" s="62" t="str">
        <f aca="false">IF(Tasks[[#This Row],[Task Name]]="","",IF(N(Tasks[[#This Row],[Baseline Finish]])&gt;0,Tasks[[#This Row],[Baseline Finish]],Tasks[[#This Row],[_CalcFinish]]))</f>
        <v/>
      </c>
      <c r="AS63" s="46" t="str">
        <f aca="false">IF(Tasks[[#This Row],[Task Name]]="","",IF(Tasks[[#This Row],[Start]]&gt;=Tasks[[#This Row],[Planned Start]],NETWORKDAYS.INTL(Tasks[[#This Row],[Planned Start]],Tasks[[#This Row],[Start]],WorkWeek,Holidays)-1,1-NETWORKDAYS.INTL(Tasks[[#This Row],[Start]],Tasks[[#This Row],[Planned Start]],WorkWeek,Holidays)))</f>
        <v/>
      </c>
      <c r="AT63" s="62" t="str">
        <f aca="false">IF(Tasks[[#This Row],[Task Name]]="","",IF(Tasks[[#This Row],[_IsSummary]],MIN(INDEX(Tasks[_LeafLateStart],Tasks[[#This Row],[_Row]]+1):INDEX(Tasks[_LeafLateStart],Tasks[[#This Row],[_Row]]+Tasks[[#This Row],[_Descendants]])),Tasks[[#This Row],[_LeafLateStart]]))</f>
        <v/>
      </c>
      <c r="AU63" s="62" t="str">
        <f aca="false">IF(Tasks[[#This Row],[Task Name]]="","",IF(Tasks[[#This Row],[_IsSummary]],MAX(INDEX(Tasks[_LeafLateFinish],Tasks[[#This Row],[_Row]]+1):INDEX(Tasks[_LeafLateFinish],Tasks[[#This Row],[_Row]]+Tasks[[#This Row],[_Descendants]])),Tasks[[#This Row],[_LeafLateFinish]]))</f>
        <v/>
      </c>
      <c r="AV63" s="46"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4"/>
      <c r="BA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5"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6"/>
      <c r="BJ63" s="22"/>
      <c r="BK63" s="46" t="str">
        <f aca="false">IF(OR(Tasks[[#This Row],[Task Name]]="",Tasks[[#This Row],[Baseline Duration]]=""),"",Tasks[[#This Row],[_SpanDays]]-N(Tasks[[#This Row],[Baseline Duration]]))</f>
        <v/>
      </c>
      <c r="BL63" s="85" t="str">
        <f aca="false">IF(OR(Tasks[[#This Row],[Task Name]]="",Tasks[[#This Row],[Baseline Work]]=""),"",Tasks[[#This Row],[Work]]-N(Tasks[[#This Row],[Baseline Work]]))</f>
        <v/>
      </c>
      <c r="BM63" s="62" t="str">
        <f aca="false">IF(Tasks[[#This Row],[Task Name]]="","",IF(OR(TakeBaseline="Yes",N(Tasks[[#This Row],[Baseline Start]])=0),Tasks[[#This Row],[Start]],Tasks[[#This Row],[Baseline Start]]))</f>
        <v/>
      </c>
      <c r="BN63" s="62"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5" t="str">
        <f aca="false">IF(Tasks[[#This Row],[Task Name]]="","",IF(OR(TakeBaseline="Yes",N(Tasks[[#This Row],[Baseline Work]])=0),Tasks[[#This Row],[Work]],Tasks[[#This Row],[Baseline Work]]))</f>
        <v/>
      </c>
      <c r="BQ63" s="7"/>
      <c r="BR63" s="7"/>
      <c r="BS63" s="22"/>
      <c r="BT63" s="87"/>
      <c r="BU63" s="42" t="str">
        <f aca="false">IF(Tasks[[#This Row],[Task Name]]="","",MAX(1,N(Tasks[[#This Row],[Level]])))</f>
        <v/>
      </c>
      <c r="BV63" s="42" t="n">
        <f aca="false">ROW()-ROW(Tasks[[#Headers],[ID]])</f>
        <v>58</v>
      </c>
      <c r="BW63" s="42" t="n">
        <f aca="false">IF(OR(Tasks[[#This Row],[Task Name]]="",Tasks[[#This Row],[_Level]]&lt;=1),0,IFERROR(LOOKUP(2,1/(Tasks[[#Headers],[_Level]]:Tasks[[#This Row],[_Level]]=Tasks[[#This Row],[_Level]]-1),ROW(Tasks[[#Headers],[_Level]]:Tasks[[#This Row],[_Level]])),0))</f>
        <v>0</v>
      </c>
      <c r="BX63" s="42" t="n">
        <f aca="false">IFERROR(N(INDEX(Tasks[_Level],Tasks[[#This Row],[_Row]]+1)),0)</f>
        <v>0</v>
      </c>
      <c r="BY63" s="88" t="b">
        <f aca="false">AND(Tasks[[#This Row],[Task Name]]&lt;&gt;"",Tasks[[#This Row],[_NextLevel]]&gt;Tasks[[#This Row],[_Level]])</f>
        <v>0</v>
      </c>
      <c r="BZ63" s="42" t="n">
        <f aca="false">IF(Tasks[[#This Row],[_IsSummary]],COUNTIF(Tasks[WBS],Tasks[[#This Row],[WBS]]&amp;".*"),0)</f>
        <v>0</v>
      </c>
      <c r="CA63" s="42" t="n">
        <f aca="false">IF(AND(Tasks[[#This Row],[Task Name]]&lt;&gt;"",NOT(Tasks[[#This Row],[_IsSummary]])),1,0)</f>
        <v>0</v>
      </c>
      <c r="CB63" s="42" t="n">
        <f aca="false">IF(N(Tasks[[#This Row],[_Pred1UID]])=0,0,IFERROR(MATCH(Tasks[[#This Row],[_Pred1UID]],Tasks[UID],0),-1))</f>
        <v>0</v>
      </c>
      <c r="CC63" s="42" t="n">
        <f aca="false">IF(N(Tasks[[#This Row],[_Pred2UID]])=0,0,IFERROR(MATCH(Tasks[[#This Row],[_Pred2UID]],Tasks[UID],0),-1))</f>
        <v>0</v>
      </c>
      <c r="CD63" s="42" t="n">
        <f aca="false">IF(N(Tasks[[#This Row],[_Pred3UID]])=0,0,IFERROR(MATCH(Tasks[[#This Row],[_Pred3UID]],Tasks[UID],0),-1))</f>
        <v>0</v>
      </c>
      <c r="CE63" s="42" t="n">
        <f aca="false">IF(N(Tasks[[#This Row],[_Pred4UID]])=0,0,IFERROR(MATCH(Tasks[[#This Row],[_Pred4UID]],Tasks[UID],0),-1))</f>
        <v>0</v>
      </c>
      <c r="CF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3" s="89" t="n">
        <f aca="false">IF(OR(Tasks[[#This Row],[_ConstraintCode]]=2,Tasks[[#This Row],[_ConstraintCode]]=3,Tasks[[#This Row],[_ConstraintCode]]=4,Tasks[[#This Row],[_ConstraintCode]]=6),Tasks[[#This Row],[_ConstraintStart]],0)</f>
        <v>0</v>
      </c>
      <c r="CI63" s="89" t="n">
        <f aca="false">IF(OR(Tasks[[#This Row],[_ConstraintCode]]=2,Tasks[[#This Row],[_ConstraintCode]]=3,Tasks[[#This Row],[_ConstraintCode]]=5,Tasks[[#This Row],[_ConstraintCode]]=7),Tasks[[#This Row],[_ConstraintStart]],2958465)</f>
        <v>2958465</v>
      </c>
      <c r="CJ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3" s="89" t="str">
        <f aca="false">IF(NOT(Tasks[[#This Row],[_IsLeaf]]=1),"",IF(N(Tasks[[#This Row],[_Days]])&lt;=0,Tasks[[#This Row],[_LeafCalcStart]],WORKDAY.INTL(Tasks[[#This Row],[_LeafCalcStart]],Tasks[[#This Row],[_Days]]-1,WorkWeek,Holidays)))</f>
        <v/>
      </c>
      <c r="CL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3" s="42" t="str">
        <f aca="false">IF(Tasks[[#This Row],[_Predecessors]]="","",TRIM(MID(SUBSTITUTE(SUBSTITUTE(SUBSTITUTE(UPPER(Tasks[[#This Row],[_Predecessors]]),";",",")," ",""),",",REPT(" ",99)),1,99)))</f>
        <v/>
      </c>
      <c r="CO63" s="42" t="str">
        <f aca="false">IF(Tasks[[#This Row],[_Pred1Text]]="","",IFERROR(VALUE(LEFT(Tasks[[#This Row],[_Pred1Text]],MIN(FIND("F",Tasks[[#This Row],[_Pred1Text]]&amp;"F"),FIND("S",Tasks[[#This Row],[_Pred1Text]]&amp;"S"),FIND("+",Tasks[[#This Row],[_Pred1Text]]&amp;"+"),FIND("-",Tasks[[#This Row],[_Pred1Text]]&amp;"-"))-1)),""))</f>
        <v/>
      </c>
      <c r="CP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3" s="42" t="str">
        <f aca="false">IF(Tasks[[#This Row],[_Pred1Text]]="","",TRIM(MID(SUBSTITUTE(SUBSTITUTE(SUBSTITUTE(UPPER(Tasks[[#This Row],[_Predecessors]]),";",",")," ",""),",",REPT(" ",99)),100,99)))</f>
        <v/>
      </c>
      <c r="CS63" s="42" t="str">
        <f aca="false">IF(Tasks[[#This Row],[_Pred2Text]]="","",IFERROR(VALUE(LEFT(Tasks[[#This Row],[_Pred2Text]],MIN(FIND("F",Tasks[[#This Row],[_Pred2Text]]&amp;"F"),FIND("S",Tasks[[#This Row],[_Pred2Text]]&amp;"S"),FIND("+",Tasks[[#This Row],[_Pred2Text]]&amp;"+"),FIND("-",Tasks[[#This Row],[_Pred2Text]]&amp;"-"))-1)),""))</f>
        <v/>
      </c>
      <c r="CT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3" s="42" t="str">
        <f aca="false">IF(Tasks[[#This Row],[_Pred2Text]]="","",TRIM(MID(SUBSTITUTE(SUBSTITUTE(SUBSTITUTE(UPPER(Tasks[[#This Row],[_Predecessors]]),";",",")," ",""),",",REPT(" ",99)),199,99)))</f>
        <v/>
      </c>
      <c r="CW63" s="42" t="str">
        <f aca="false">IF(Tasks[[#This Row],[_Pred3Text]]="","",IFERROR(VALUE(LEFT(Tasks[[#This Row],[_Pred3Text]],MIN(FIND("F",Tasks[[#This Row],[_Pred3Text]]&amp;"F"),FIND("S",Tasks[[#This Row],[_Pred3Text]]&amp;"S"),FIND("+",Tasks[[#This Row],[_Pred3Text]]&amp;"+"),FIND("-",Tasks[[#This Row],[_Pred3Text]]&amp;"-"))-1)),""))</f>
        <v/>
      </c>
      <c r="CX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3" s="42" t="str">
        <f aca="false">IF(Tasks[[#This Row],[_Pred3Text]]="","",TRIM(MID(SUBSTITUTE(SUBSTITUTE(SUBSTITUTE(UPPER(Tasks[[#This Row],[_Predecessors]]),";",",")," ",""),",",REPT(" ",99)),298,99)))</f>
        <v/>
      </c>
      <c r="DA63" s="42" t="str">
        <f aca="false">IF(Tasks[[#This Row],[_Pred4Text]]="","",IFERROR(VALUE(LEFT(Tasks[[#This Row],[_Pred4Text]],MIN(FIND("F",Tasks[[#This Row],[_Pred4Text]]&amp;"F"),FIND("S",Tasks[[#This Row],[_Pred4Text]]&amp;"S"),FIND("+",Tasks[[#This Row],[_Pred4Text]]&amp;"+"),FIND("-",Tasks[[#This Row],[_Pred4Text]]&amp;"-"))-1)),""))</f>
        <v/>
      </c>
      <c r="DB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3" s="42" t="str">
        <f aca="false">IF(OR(Tasks[[#This Row],[Task Name]]="",Tasks[[#This Row],[_Resources]]=""),"",TRIM(MID(SUBSTITUTE(Tasks[[#This Row],[_Resources]],",",REPT(" ",99)),1,99)))</f>
        <v/>
      </c>
      <c r="DE63" s="42" t="str">
        <f aca="false">IF(Tasks[[#This Row],[_Res1Text]]="","",TRIM(MID(SUBSTITUTE(Tasks[[#This Row],[_Resources]],",",REPT(" ",99)),100,99)))</f>
        <v/>
      </c>
      <c r="DF63" s="42" t="str">
        <f aca="false">IF(Tasks[[#This Row],[_Res2Text]]="","",TRIM(MID(SUBSTITUTE(Tasks[[#This Row],[_Resources]],",",REPT(" ",99)),199,99)))</f>
        <v/>
      </c>
      <c r="DG63" s="42" t="str">
        <f aca="false">IF(Tasks[[#This Row],[_Res3Text]]="","",TRIM(MID(SUBSTITUTE(Tasks[[#This Row],[_Resources]],",",REPT(" ",99)),298,99)))</f>
        <v/>
      </c>
      <c r="DH63" s="42" t="n">
        <f aca="false">IF(Tasks[[#This Row],[_Res1Text]]="",0,IFERROR(MATCH(TRIM(LEFT(Tasks[[#This Row],[_Res1Text]],FIND("[",Tasks[[#This Row],[_Res1Text]]&amp;"[")-1)),res_Name,0),IFERROR(MATCH(TRIM(LEFT(Tasks[[#This Row],[_Res1Text]],FIND("[",Tasks[[#This Row],[_Res1Text]]&amp;"[")-1)),res_Initials,0),0)))</f>
        <v>0</v>
      </c>
      <c r="DI63" s="42" t="n">
        <f aca="false">IF(Tasks[[#This Row],[_Res2Text]]="",0,IFERROR(MATCH(TRIM(LEFT(Tasks[[#This Row],[_Res2Text]],FIND("[",Tasks[[#This Row],[_Res2Text]]&amp;"[")-1)),res_Name,0),IFERROR(MATCH(TRIM(LEFT(Tasks[[#This Row],[_Res2Text]],FIND("[",Tasks[[#This Row],[_Res2Text]]&amp;"[")-1)),res_Initials,0),0)))</f>
        <v>0</v>
      </c>
      <c r="DJ63" s="42" t="n">
        <f aca="false">IF(Tasks[[#This Row],[_Res3Text]]="",0,IFERROR(MATCH(TRIM(LEFT(Tasks[[#This Row],[_Res3Text]],FIND("[",Tasks[[#This Row],[_Res3Text]]&amp;"[")-1)),res_Name,0),IFERROR(MATCH(TRIM(LEFT(Tasks[[#This Row],[_Res3Text]],FIND("[",Tasks[[#This Row],[_Res3Text]]&amp;"[")-1)),res_Initials,0),0)))</f>
        <v>0</v>
      </c>
      <c r="DK63" s="42" t="n">
        <f aca="false">IF(Tasks[[#This Row],[_Res4Text]]="",0,IFERROR(MATCH(TRIM(LEFT(Tasks[[#This Row],[_Res4Text]],FIND("[",Tasks[[#This Row],[_Res4Text]]&amp;"[")-1)),res_Name,0),IFERROR(MATCH(TRIM(LEFT(Tasks[[#This Row],[_Res4Text]],FIND("[",Tasks[[#This Row],[_Res4Text]]&amp;"[")-1)),res_Initials,0),0)))</f>
        <v>0</v>
      </c>
      <c r="DL63" s="42" t="str">
        <f aca="false">IF(Tasks[[#This Row],[_Res1Text]]="","",IF(Tasks[[#This Row],[_Res1Row]]&gt;0,INDEX(res_Name,Tasks[[#This Row],[_Res1Row]]),TRIM(LEFT(Tasks[[#This Row],[_Res1Text]],FIND("[",Tasks[[#This Row],[_Res1Text]]&amp;"[")-1))))</f>
        <v/>
      </c>
      <c r="DM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3" s="42" t="n">
        <f aca="false">IF(NOT(Tasks[[#This Row],[_IsLeaf]]=1),0,(Tasks[[#This Row],[_Resource1]]&lt;&gt;"")+(Tasks[[#This Row],[_Res2]]&lt;&gt;"")+(Tasks[[#This Row],[_Res3]]&lt;&gt;"")+(Tasks[[#This Row],[_Res4]]&lt;&gt;""))</f>
        <v>0</v>
      </c>
      <c r="DO63" s="42" t="str">
        <f aca="false">IF(Tasks[[#This Row],[_Res2Text]]="","",IF(Tasks[[#This Row],[_Res2Row]]&gt;0,INDEX(res_Name,Tasks[[#This Row],[_Res2Row]]),TRIM(LEFT(Tasks[[#This Row],[_Res2Text]],FIND("[",Tasks[[#This Row],[_Res2Text]]&amp;"[")-1))))</f>
        <v/>
      </c>
      <c r="DP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3" s="42" t="n">
        <f aca="false">IF(OR(NOT(Tasks[[#This Row],[_IsLeaf]]=1),Tasks[[#This Row],[_Res2Row]]=0),0,N(Tasks[[#This Row],[_Days]])*HoursPerDay*IF(Tasks[[#This Row],[_Res2Units]]="",DefaultUnits,Tasks[[#This Row],[_Res2Units]]))</f>
        <v>0</v>
      </c>
      <c r="DR63" s="42" t="n">
        <f aca="false">IF(AND(AND(Tasks[[#This Row],[_IsLeaf]]=1,Tasks[[#This Row],[_LeafTotalWork]]&gt;0),Tasks[[#This Row],[_Res2Work]]&gt;0),Tasks[[#This Row],[_Res2Work]]/(Tasks[[#This Row],[_FinishWorkday]]-Tasks[[#This Row],[_StartWorkday]]+1),0)</f>
        <v>0</v>
      </c>
      <c r="DS63" s="42" t="n">
        <f aca="false">Tasks[[#This Row],[_Res2WorkPerWD]]*MAX(0,Tasks[[#This Row],[_StartWorkday]]-1)</f>
        <v>0</v>
      </c>
      <c r="DT63" s="42" t="n">
        <f aca="false">Tasks[[#This Row],[_Res2Work]]*Tasks[[#This Row],[_LeafProgress]]</f>
        <v>0</v>
      </c>
      <c r="DU63" s="42" t="str">
        <f aca="false">IF(Tasks[[#This Row],[_Res3Text]]="","",IF(Tasks[[#This Row],[_Res3Row]]&gt;0,INDEX(res_Name,Tasks[[#This Row],[_Res3Row]]),TRIM(LEFT(Tasks[[#This Row],[_Res3Text]],FIND("[",Tasks[[#This Row],[_Res3Text]]&amp;"[")-1))))</f>
        <v/>
      </c>
      <c r="DV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3" s="42" t="n">
        <f aca="false">IF(OR(NOT(Tasks[[#This Row],[_IsLeaf]]=1),Tasks[[#This Row],[_Res3Row]]=0),0,N(Tasks[[#This Row],[_Days]])*HoursPerDay*IF(Tasks[[#This Row],[_Res3Units]]="",DefaultUnits,Tasks[[#This Row],[_Res3Units]]))</f>
        <v>0</v>
      </c>
      <c r="DX63" s="42" t="n">
        <f aca="false">IF(AND(AND(Tasks[[#This Row],[_IsLeaf]]=1,Tasks[[#This Row],[_LeafTotalWork]]&gt;0),Tasks[[#This Row],[_Res3Work]]&gt;0),Tasks[[#This Row],[_Res3Work]]/(Tasks[[#This Row],[_FinishWorkday]]-Tasks[[#This Row],[_StartWorkday]]+1),0)</f>
        <v>0</v>
      </c>
      <c r="DY63" s="42" t="n">
        <f aca="false">Tasks[[#This Row],[_Res3WorkPerWD]]*MAX(0,Tasks[[#This Row],[_StartWorkday]]-1)</f>
        <v>0</v>
      </c>
      <c r="DZ63" s="42" t="n">
        <f aca="false">Tasks[[#This Row],[_Res3Work]]*Tasks[[#This Row],[_LeafProgress]]</f>
        <v>0</v>
      </c>
      <c r="EA63" s="42" t="str">
        <f aca="false">IF(Tasks[[#This Row],[_Res4Text]]="","",IF(Tasks[[#This Row],[_Res4Row]]&gt;0,INDEX(res_Name,Tasks[[#This Row],[_Res4Row]]),TRIM(LEFT(Tasks[[#This Row],[_Res4Text]],FIND("[",Tasks[[#This Row],[_Res4Text]]&amp;"[")-1))))</f>
        <v/>
      </c>
      <c r="EB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3" s="42" t="n">
        <f aca="false">IF(OR(NOT(Tasks[[#This Row],[_IsLeaf]]=1),Tasks[[#This Row],[_Res4Row]]=0),0,N(Tasks[[#This Row],[_Days]])*HoursPerDay*IF(Tasks[[#This Row],[_Res4Units]]="",DefaultUnits,Tasks[[#This Row],[_Res4Units]]))</f>
        <v>0</v>
      </c>
      <c r="ED63" s="42" t="n">
        <f aca="false">IF(AND(AND(Tasks[[#This Row],[_IsLeaf]]=1,Tasks[[#This Row],[_LeafTotalWork]]&gt;0),Tasks[[#This Row],[_Res4Work]]&gt;0),Tasks[[#This Row],[_Res4Work]]/(Tasks[[#This Row],[_FinishWorkday]]-Tasks[[#This Row],[_StartWorkday]]+1),0)</f>
        <v>0</v>
      </c>
      <c r="EE63" s="42" t="n">
        <f aca="false">Tasks[[#This Row],[_Res4WorkPerWD]]*MAX(0,Tasks[[#This Row],[_StartWorkday]]-1)</f>
        <v>0</v>
      </c>
      <c r="EF63" s="42" t="n">
        <f aca="false">Tasks[[#This Row],[_Res4Work]]*Tasks[[#This Row],[_LeafProgress]]</f>
        <v>0</v>
      </c>
      <c r="EG63" s="42" t="n">
        <f aca="false">IF(ISNUMBER(Tasks[[#This Row],[% Complete]]),Tasks[[#This Row],[% Complete]],IF(Tasks[[#This Row],[Stage]]="",0,IFERROR(INDEX(stg_Pct,MATCH(Tasks[[#This Row],[Stage]],stg_Name,0)),0)))</f>
        <v>0</v>
      </c>
      <c r="EH63" s="42" t="n">
        <f aca="false">IF(NOT(Tasks[[#This Row],[_IsLeaf]]=1),0,IF(N(Tasks[[#This Row],[Actual Finish]])&gt;0,1,MIN(1,Tasks[[#This Row],[_Pct]])))</f>
        <v>0</v>
      </c>
      <c r="EI63" s="42" t="n">
        <f aca="false">IF(OR(NOT(Tasks[[#This Row],[_IsLeaf]]=1),Tasks[[#This Row],[_Res1Row]]=0),0,N(Tasks[[#This Row],[_Days]])*HoursPerDay*IF(Tasks[[#This Row],[_Units1]]="",DefaultUnits,Tasks[[#This Row],[_Units1]]))</f>
        <v>0</v>
      </c>
      <c r="EJ63" s="42" t="n">
        <f aca="false">Tasks[[#This Row],[_LeafWork]]+Tasks[[#This Row],[_Res2Work]]+Tasks[[#This Row],[_Res3Work]]+Tasks[[#This Row],[_Res4Work]]</f>
        <v>0</v>
      </c>
      <c r="EK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3" s="42" t="n">
        <f aca="false">IF(NOT(Tasks[[#This Row],[_IsLeaf]]=1),0,MAX(_xlfn.MAXIFS(Tasks[_Row],Tasks[_Pred1UID],Tasks[[#This Row],[UID]]),_xlfn.MAXIFS(Tasks[_Row],Tasks[_Pred2UID],Tasks[[#This Row],[UID]]),_xlfn.MAXIFS(Tasks[_Row],Tasks[_Pred3UID],Tasks[[#This Row],[UID]]),_xlfn.MAXIFS(Tasks[_Row],Tasks[_Pred4UID],Tasks[[#This Row],[UID]])))</f>
        <v>0</v>
      </c>
      <c r="ET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3" s="89" t="str">
        <f aca="false">IF(NOT(Tasks[[#This Row],[_IsLeaf]]=1),"",IF(N(Tasks[[#This Row],[_Days]])&lt;=0,Tasks[[#This Row],[_LeafLateFinish]],WORKDAY.INTL(Tasks[[#This Row],[_LeafLateFinish]],-(Tasks[[#This Row],[_Days]]-1),WorkWeek,Holidays)))</f>
        <v/>
      </c>
      <c r="EW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3" s="88" t="b">
        <f aca="false">AND(Tasks[[#This Row],[_IsLeaf]]=1,Tasks[[#This Row],[_LeafProgress]]&lt;1,N(Tasks[[#This Row],[_LeafTotalSlack]])&lt;=CriticalSlackDays)</f>
        <v>0</v>
      </c>
      <c r="EY63" s="42" t="n">
        <f aca="false">IF(AND(Tasks[[#This Row],[_IsLeaf]]=1,Tasks[[#This Row],[_ConstraintCode]]=1,Tasks[[#This Row],[Mode]]&lt;&gt;"Manual",N(Tasks[[#This Row],[Actual Start]])=0),MAX(0,N(Tasks[[#This Row],[Free Slack]])),0)</f>
        <v>0</v>
      </c>
      <c r="EZ63" s="89" t="str">
        <f aca="false">IF(NOT(Tasks[[#This Row],[_IsLeaf]]=1),"",IF(Tasks[[#This Row],[_AlapShift]]=0,Tasks[[#This Row],[_LeafCalcStart]],WORKDAY.INTL(Tasks[[#This Row],[_LeafCalcStart]],Tasks[[#This Row],[_AlapShift]],WorkWeek,Holidays)))</f>
        <v/>
      </c>
      <c r="FA63" s="89" t="str">
        <f aca="false">IF(NOT(Tasks[[#This Row],[_IsLeaf]]=1),"",IF(Tasks[[#This Row],[_AlapShift]]=0,Tasks[[#This Row],[_LeafCalcFinish]],WORKDAY.INTL(Tasks[[#This Row],[_LeafCalcFinish]],Tasks[[#This Row],[_AlapShift]],WorkWeek,Holidays)))</f>
        <v/>
      </c>
      <c r="FB63" s="89" t="str">
        <f aca="false">IF(NOT(Tasks[[#This Row],[_IsLeaf]]=1),"",IF(Tasks[[#This Row],[_AlapShift]]=0,Tasks[[#This Row],[_LeafFcstStart]],WORKDAY.INTL(Tasks[[#This Row],[_LeafFcstStart]],Tasks[[#This Row],[_AlapShift]],WorkWeek,Holidays)))</f>
        <v/>
      </c>
      <c r="FC63" s="89" t="str">
        <f aca="false">IF(NOT(Tasks[[#This Row],[_IsLeaf]]=1),"",IF(Tasks[[#This Row],[_AlapShift]]=0,Tasks[[#This Row],[_LeafFcstFinish]],WORKDAY.INTL(Tasks[[#This Row],[_LeafFcstFinish]],Tasks[[#This Row],[_AlapShift]],WorkWeek,Holidays)))</f>
        <v/>
      </c>
      <c r="FD63" s="89" t="str">
        <f aca="false">IF(Tasks[[#This Row],[Task Name]]="","",IF(Tasks[[#This Row],[_IsSummary]],MIN(INDEX(Tasks[_ShownCalcStart],Tasks[[#This Row],[_Row]]+1):INDEX(Tasks[_ShownCalcStart],Tasks[[#This Row],[_Row]]+Tasks[[#This Row],[_Descendants]])),Tasks[[#This Row],[_ShownCalcStart]]))</f>
        <v/>
      </c>
      <c r="FE63" s="89" t="str">
        <f aca="false">IF(Tasks[[#This Row],[Task Name]]="","",IF(Tasks[[#This Row],[_IsSummary]],MAX(INDEX(Tasks[_ShownCalcFinish],Tasks[[#This Row],[_Row]]+1):INDEX(Tasks[_ShownCalcFinish],Tasks[[#This Row],[_Row]]+Tasks[[#This Row],[_Descendants]])),Tasks[[#This Row],[_ShownCalcFinish]]))</f>
        <v/>
      </c>
      <c r="FF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3" s="42" t="n">
        <f aca="false">IF(AND(Tasks[[#This Row],[_IsLeaf]]=1,Tasks[[#This Row],[_LeafTotalWork]]&gt;0),NETWORKDAYS.INTL(ProjectStart,Tasks[[#This Row],[_ShownFcstStart]],WorkWeek,Holidays),0)</f>
        <v>0</v>
      </c>
      <c r="FS63" s="42" t="n">
        <f aca="false">IF(AND(Tasks[[#This Row],[_IsLeaf]]=1,Tasks[[#This Row],[_LeafTotalWork]]&gt;0),MAX(Tasks[[#This Row],[_StartWorkday]],NETWORKDAYS.INTL(ProjectStart,Tasks[[#This Row],[_ShownFcstFinish]],WorkWeek,Holidays)),0)</f>
        <v>0</v>
      </c>
      <c r="FT63" s="42" t="n">
        <f aca="false">IF(AND(Tasks[[#This Row],[_IsLeaf]]=1,Tasks[[#This Row],[_LeafTotalWork]]&gt;0),Tasks[[#This Row],[_LeafWork]]/(Tasks[[#This Row],[_FinishWorkday]]-Tasks[[#This Row],[_StartWorkday]]+1),0)</f>
        <v>0</v>
      </c>
      <c r="FU63" s="42" t="n">
        <f aca="false">Tasks[[#This Row],[_WorkPerWorkday]]*(Tasks[[#This Row],[_StartWorkday]]-1)</f>
        <v>-0</v>
      </c>
      <c r="FV63" s="42" t="n">
        <f aca="false">IF(Tasks[[#This Row],[_IsLeaf]]=1,MAX(N(Tasks[[#This Row],[_Days]]),0.1),0)</f>
        <v>0</v>
      </c>
      <c r="FW63" s="42" t="n">
        <f aca="false">Tasks[[#This Row],[_WeightDur]]*Tasks[[#This Row],[_LeafProgress]]</f>
        <v>0</v>
      </c>
      <c r="FX63" s="42" t="n">
        <f aca="false">Tasks[[#This Row],[_WeightDur]]*Tasks[[#This Row],[_PlannedPct]]</f>
        <v>0</v>
      </c>
      <c r="FY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3" s="42" t="str">
        <f aca="false">IF(AND(Tasks[[#This Row],[_IsLeaf]]=1,N(Tasks[[#This Row],[_Days]])=0,Tasks[[#This Row],[_LeafProgress]]&lt;1),Tasks[[#This Row],[_ShownFcstFinish]]+Tasks[[#This Row],[_Row]]/100000,"")</f>
        <v/>
      </c>
      <c r="GA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3" s="42" t="str">
        <f aca="false">IF(Tasks[[#This Row],[Task Name]]="","",LEFT(Tasks[[#This Row],[WBS]],FIND(".",Tasks[[#This Row],[WBS]]&amp;".")-1))</f>
        <v/>
      </c>
      <c r="GC63" s="42" t="str">
        <f aca="false">IF(AND(Tasks[[#This Row],[Task Name]]&lt;&gt;"",Tasks[[#This Row],[_Level]]=1),Tasks[[#This Row],[_Row]],"")</f>
        <v/>
      </c>
      <c r="GD63" s="42" t="str">
        <f aca="false">IF(AND(Tasks[[#This Row],[_IsLeaf]]=1,N(Tasks[[#This Row],[_Days]])=0),Tasks[[#This Row],[Planned Finish]]+Tasks[[#This Row],[_Row]]/100000,"")</f>
        <v/>
      </c>
      <c r="GE63" s="42" t="str">
        <f aca="false">IF(AND(Tasks[[#This Row],[_IsLeaf]]=1,Tasks[[#This Row],[_LeafProgress]]&lt;1,OR(N(Tasks[[#This Row],[Finish Var]])&gt;0,Tasks[[#This Row],[Status]]="Late Start")),MAX(0,Tasks[[#This Row],[Finish Var]])+1-Tasks[[#This Row],[_Row]]/1000000,"")</f>
        <v/>
      </c>
      <c r="GF63" s="42" t="str">
        <f aca="false">IF(AND(Tasks[[#This Row],[_IsLeaf]]=1,N(Tasks[[#This Row],[Actual Start]])=0,Tasks[[#This Row],[_ShownFcstStart]]&gt;=StatusDate,Tasks[[#This Row],[_ShownFcstStart]]&lt;=LookaheadEnd),Tasks[[#This Row],[_ShownFcstStart]]+Tasks[[#This Row],[_Row]]/100000,"")</f>
        <v/>
      </c>
      <c r="GG63" s="42" t="str">
        <f aca="false">IF(AND(Tasks[[#This Row],[_IsLeaf]]=1,Tasks[[#This Row],[_LeafProgress]]&lt;1,Tasks[[#This Row],[_ShownFcstFinish]]&gt;=StatusDate,Tasks[[#This Row],[_ShownFcstFinish]]&lt;=LookaheadEnd),Tasks[[#This Row],[_ShownFcstFinish]]+Tasks[[#This Row],[_Row]]/100000,"")</f>
        <v/>
      </c>
      <c r="GH63" s="42" t="str">
        <f aca="false">IF(Tasks[[#This Row],[_LeafCritical]],Tasks[[#This Row],[_ShownFcstStart]]+Tasks[[#This Row],[_Row]]/100000,"")</f>
        <v/>
      </c>
      <c r="GI63" s="42" t="n">
        <f aca="false">Tasks[[#This Row],[_LeafWork]]*Tasks[[#This Row],[_LeafProgress]]</f>
        <v>0</v>
      </c>
      <c r="GJ63" s="89" t="str">
        <f aca="false">IF(AND(Tasks[[#This Row],[_IsLeaf]]=1,Tasks[[#This Row],[_LeafProgress]]&gt;=1),IF(N(Tasks[[#This Row],[Actual Finish]])&gt;0,Tasks[[#This Row],[Actual Finish]],Tasks[[#This Row],[_ShownFcstFinish]]),"")</f>
        <v/>
      </c>
      <c r="GK63" s="42" t="n">
        <f aca="false">IF(Tasks[[#This Row],[_IsLeaf]]=1,N(Tasks[[#This Row],[Story Points]]),0)</f>
        <v>0</v>
      </c>
      <c r="GL63" s="42" t="str">
        <f aca="false">""</f>
        <v/>
      </c>
      <c r="GM63" s="88" t="b">
        <f aca="false">IF(Tasks[[#This Row],[Task Name]]="",FALSE(),AND(Tasks[[#This Row],[_IsLeaf]]=1,N(Tasks[[#This Row],[_Days]])=0))</f>
        <v>0</v>
      </c>
      <c r="GN63" s="89" t="n">
        <f aca="false">IF(Tasks[[#This Row],[Task Name]]="",0,IF(AND(Tasks[[#This Row],[_IsLeaf]]=1,NOT(Tasks[[#This Row],[_IsMilestone]]),N(Tasks[[#This Row],[Progress]])&gt;0),Tasks[[#This Row],[Start]],0))</f>
        <v>0</v>
      </c>
      <c r="GO63" s="89" t="n">
        <f aca="false">IF(Tasks[[#This Row],[_DoneFrom]]=0,0,IF(Tasks[[#This Row],[Progress]]&gt;=1,Tasks[[#This Row],[Finish]],MAX(Tasks[[#This Row],[_DoneFrom]],Tasks[[#This Row],[Start]]+ROUND((Tasks[[#This Row],[Finish]]-Tasks[[#This Row],[Start]]+1)*Tasks[[#This Row],[Progress]],0)-1)))</f>
        <v>0</v>
      </c>
      <c r="GP63" s="89" t="n">
        <f aca="false">IF(Tasks[[#This Row],[Task Name]]="",0,IF(OR(NOT(Tasks[[#This Row],[_IsLeaf]]=1),Tasks[[#This Row],[_IsMilestone]],N(Tasks[[#This Row],[Progress]])&gt;=1),0,IF(Tasks[[#This Row],[_DoneTo]]&gt;0,Tasks[[#This Row],[_DoneTo]]+1,Tasks[[#This Row],[Start]])))</f>
        <v>0</v>
      </c>
      <c r="GQ63" s="89" t="n">
        <f aca="false">IF(Tasks[[#This Row],[_RemFrom]]=0,0,Tasks[[#This Row],[Finish]])</f>
        <v>0</v>
      </c>
      <c r="GR63" s="88" t="b">
        <f aca="false">IF(Tasks[[#This Row],[Task Name]]="",FALSE(),OR(NOT(BaselineSet),N(Tasks[[#This Row],[Baseline Start]])&gt;0))</f>
        <v>0</v>
      </c>
      <c r="GS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3" s="90" t="str">
        <f aca="false">IF(Tasks[[#This Row],[_IsLeaf]]=1,Tasks[[#This Row],[_Row]],"")</f>
        <v/>
      </c>
      <c r="GW63" s="90" t="str">
        <f aca="false">IFERROR(INDEX(Tasks[UID],SMALL(Tasks[_PickKey],Tasks[[#This Row],[_Row]]))&amp;" "&amp;INDEX(Tasks[Task Name],SMALL(Tasks[_PickKey],Tasks[[#This Row],[_Row]])),"")</f>
        <v/>
      </c>
      <c r="GX63" s="42" t="str">
        <f aca="false">IF(Tasks[[#This Row],[Task Name]]="","",IF(Tasks[[#This Row],[_IsSummary]],NETWORKDAYS.INTL(Tasks[[#This Row],[Start]],Tasks[[#This Row],[Finish]],WorkWeek,Holidays),N(Tasks[[#This Row],[_Days]])))</f>
        <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3"/>
      <c r="U64" s="23"/>
      <c r="V64" s="83"/>
      <c r="W64" s="23"/>
      <c r="X64" s="83"/>
      <c r="Y64" s="23"/>
      <c r="Z64" s="83"/>
      <c r="AA64" s="23"/>
      <c r="AB64" s="23"/>
      <c r="AC64" s="7"/>
      <c r="AD64" s="7"/>
      <c r="AE64" s="62" t="str">
        <f aca="false">IF(Tasks[[#This Row],[Task Name]]="","",IF(Tasks[[#This Row],[_IsSummary]],MIN(INDEX(Tasks[_ShownFcstStart],Tasks[[#This Row],[_Row]]+1):INDEX(Tasks[_ShownFcstStart],Tasks[[#This Row],[_Row]]+Tasks[[#This Row],[_Descendants]])),Tasks[[#This Row],[_ShownFcstStart]]))</f>
        <v/>
      </c>
      <c r="AF64" s="62"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4" s="7"/>
      <c r="AK64" s="22"/>
      <c r="AL64" s="23"/>
      <c r="AM64" s="7"/>
      <c r="AN64" s="46"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2" t="str">
        <f aca="false">IF(Tasks[[#This Row],[Task Name]]="","",IF(N(Tasks[[#This Row],[Baseline Start]])&gt;0,Tasks[[#This Row],[Baseline Start]],Tasks[[#This Row],[_CalcStart]]))</f>
        <v/>
      </c>
      <c r="AR64" s="62" t="str">
        <f aca="false">IF(Tasks[[#This Row],[Task Name]]="","",IF(N(Tasks[[#This Row],[Baseline Finish]])&gt;0,Tasks[[#This Row],[Baseline Finish]],Tasks[[#This Row],[_CalcFinish]]))</f>
        <v/>
      </c>
      <c r="AS64" s="46" t="str">
        <f aca="false">IF(Tasks[[#This Row],[Task Name]]="","",IF(Tasks[[#This Row],[Start]]&gt;=Tasks[[#This Row],[Planned Start]],NETWORKDAYS.INTL(Tasks[[#This Row],[Planned Start]],Tasks[[#This Row],[Start]],WorkWeek,Holidays)-1,1-NETWORKDAYS.INTL(Tasks[[#This Row],[Start]],Tasks[[#This Row],[Planned Start]],WorkWeek,Holidays)))</f>
        <v/>
      </c>
      <c r="AT64" s="62" t="str">
        <f aca="false">IF(Tasks[[#This Row],[Task Name]]="","",IF(Tasks[[#This Row],[_IsSummary]],MIN(INDEX(Tasks[_LeafLateStart],Tasks[[#This Row],[_Row]]+1):INDEX(Tasks[_LeafLateStart],Tasks[[#This Row],[_Row]]+Tasks[[#This Row],[_Descendants]])),Tasks[[#This Row],[_LeafLateStart]]))</f>
        <v/>
      </c>
      <c r="AU64" s="62" t="str">
        <f aca="false">IF(Tasks[[#This Row],[Task Name]]="","",IF(Tasks[[#This Row],[_IsSummary]],MAX(INDEX(Tasks[_LeafLateFinish],Tasks[[#This Row],[_Row]]+1):INDEX(Tasks[_LeafLateFinish],Tasks[[#This Row],[_Row]]+Tasks[[#This Row],[_Descendants]])),Tasks[[#This Row],[_LeafLateFinish]]))</f>
        <v/>
      </c>
      <c r="AV64" s="46"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4"/>
      <c r="BA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5"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6"/>
      <c r="BJ64" s="22"/>
      <c r="BK64" s="46" t="str">
        <f aca="false">IF(OR(Tasks[[#This Row],[Task Name]]="",Tasks[[#This Row],[Baseline Duration]]=""),"",Tasks[[#This Row],[_SpanDays]]-N(Tasks[[#This Row],[Baseline Duration]]))</f>
        <v/>
      </c>
      <c r="BL64" s="85" t="str">
        <f aca="false">IF(OR(Tasks[[#This Row],[Task Name]]="",Tasks[[#This Row],[Baseline Work]]=""),"",Tasks[[#This Row],[Work]]-N(Tasks[[#This Row],[Baseline Work]]))</f>
        <v/>
      </c>
      <c r="BM64" s="62" t="str">
        <f aca="false">IF(Tasks[[#This Row],[Task Name]]="","",IF(OR(TakeBaseline="Yes",N(Tasks[[#This Row],[Baseline Start]])=0),Tasks[[#This Row],[Start]],Tasks[[#This Row],[Baseline Start]]))</f>
        <v/>
      </c>
      <c r="BN64" s="62"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5" t="str">
        <f aca="false">IF(Tasks[[#This Row],[Task Name]]="","",IF(OR(TakeBaseline="Yes",N(Tasks[[#This Row],[Baseline Work]])=0),Tasks[[#This Row],[Work]],Tasks[[#This Row],[Baseline Work]]))</f>
        <v/>
      </c>
      <c r="BQ64" s="7"/>
      <c r="BR64" s="7"/>
      <c r="BS64" s="22"/>
      <c r="BT64" s="87"/>
      <c r="BU64" s="42" t="str">
        <f aca="false">IF(Tasks[[#This Row],[Task Name]]="","",MAX(1,N(Tasks[[#This Row],[Level]])))</f>
        <v/>
      </c>
      <c r="BV64" s="42" t="n">
        <f aca="false">ROW()-ROW(Tasks[[#Headers],[ID]])</f>
        <v>59</v>
      </c>
      <c r="BW64" s="42" t="n">
        <f aca="false">IF(OR(Tasks[[#This Row],[Task Name]]="",Tasks[[#This Row],[_Level]]&lt;=1),0,IFERROR(LOOKUP(2,1/(Tasks[[#Headers],[_Level]]:Tasks[[#This Row],[_Level]]=Tasks[[#This Row],[_Level]]-1),ROW(Tasks[[#Headers],[_Level]]:Tasks[[#This Row],[_Level]])),0))</f>
        <v>0</v>
      </c>
      <c r="BX64" s="42" t="n">
        <f aca="false">IFERROR(N(INDEX(Tasks[_Level],Tasks[[#This Row],[_Row]]+1)),0)</f>
        <v>0</v>
      </c>
      <c r="BY64" s="88" t="b">
        <f aca="false">AND(Tasks[[#This Row],[Task Name]]&lt;&gt;"",Tasks[[#This Row],[_NextLevel]]&gt;Tasks[[#This Row],[_Level]])</f>
        <v>0</v>
      </c>
      <c r="BZ64" s="42" t="n">
        <f aca="false">IF(Tasks[[#This Row],[_IsSummary]],COUNTIF(Tasks[WBS],Tasks[[#This Row],[WBS]]&amp;".*"),0)</f>
        <v>0</v>
      </c>
      <c r="CA64" s="42" t="n">
        <f aca="false">IF(AND(Tasks[[#This Row],[Task Name]]&lt;&gt;"",NOT(Tasks[[#This Row],[_IsSummary]])),1,0)</f>
        <v>0</v>
      </c>
      <c r="CB64" s="42" t="n">
        <f aca="false">IF(N(Tasks[[#This Row],[_Pred1UID]])=0,0,IFERROR(MATCH(Tasks[[#This Row],[_Pred1UID]],Tasks[UID],0),-1))</f>
        <v>0</v>
      </c>
      <c r="CC64" s="42" t="n">
        <f aca="false">IF(N(Tasks[[#This Row],[_Pred2UID]])=0,0,IFERROR(MATCH(Tasks[[#This Row],[_Pred2UID]],Tasks[UID],0),-1))</f>
        <v>0</v>
      </c>
      <c r="CD64" s="42" t="n">
        <f aca="false">IF(N(Tasks[[#This Row],[_Pred3UID]])=0,0,IFERROR(MATCH(Tasks[[#This Row],[_Pred3UID]],Tasks[UID],0),-1))</f>
        <v>0</v>
      </c>
      <c r="CE64" s="42" t="n">
        <f aca="false">IF(N(Tasks[[#This Row],[_Pred4UID]])=0,0,IFERROR(MATCH(Tasks[[#This Row],[_Pred4UID]],Tasks[UID],0),-1))</f>
        <v>0</v>
      </c>
      <c r="CF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4" s="89" t="n">
        <f aca="false">IF(OR(Tasks[[#This Row],[_ConstraintCode]]=2,Tasks[[#This Row],[_ConstraintCode]]=3,Tasks[[#This Row],[_ConstraintCode]]=4,Tasks[[#This Row],[_ConstraintCode]]=6),Tasks[[#This Row],[_ConstraintStart]],0)</f>
        <v>0</v>
      </c>
      <c r="CI64" s="89" t="n">
        <f aca="false">IF(OR(Tasks[[#This Row],[_ConstraintCode]]=2,Tasks[[#This Row],[_ConstraintCode]]=3,Tasks[[#This Row],[_ConstraintCode]]=5,Tasks[[#This Row],[_ConstraintCode]]=7),Tasks[[#This Row],[_ConstraintStart]],2958465)</f>
        <v>2958465</v>
      </c>
      <c r="CJ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4" s="89" t="str">
        <f aca="false">IF(NOT(Tasks[[#This Row],[_IsLeaf]]=1),"",IF(N(Tasks[[#This Row],[_Days]])&lt;=0,Tasks[[#This Row],[_LeafCalcStart]],WORKDAY.INTL(Tasks[[#This Row],[_LeafCalcStart]],Tasks[[#This Row],[_Days]]-1,WorkWeek,Holidays)))</f>
        <v/>
      </c>
      <c r="CL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4" s="42" t="str">
        <f aca="false">IF(Tasks[[#This Row],[_Predecessors]]="","",TRIM(MID(SUBSTITUTE(SUBSTITUTE(SUBSTITUTE(UPPER(Tasks[[#This Row],[_Predecessors]]),";",",")," ",""),",",REPT(" ",99)),1,99)))</f>
        <v/>
      </c>
      <c r="CO64" s="42" t="str">
        <f aca="false">IF(Tasks[[#This Row],[_Pred1Text]]="","",IFERROR(VALUE(LEFT(Tasks[[#This Row],[_Pred1Text]],MIN(FIND("F",Tasks[[#This Row],[_Pred1Text]]&amp;"F"),FIND("S",Tasks[[#This Row],[_Pred1Text]]&amp;"S"),FIND("+",Tasks[[#This Row],[_Pred1Text]]&amp;"+"),FIND("-",Tasks[[#This Row],[_Pred1Text]]&amp;"-"))-1)),""))</f>
        <v/>
      </c>
      <c r="CP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4" s="42" t="str">
        <f aca="false">IF(Tasks[[#This Row],[_Pred1Text]]="","",TRIM(MID(SUBSTITUTE(SUBSTITUTE(SUBSTITUTE(UPPER(Tasks[[#This Row],[_Predecessors]]),";",",")," ",""),",",REPT(" ",99)),100,99)))</f>
        <v/>
      </c>
      <c r="CS64" s="42" t="str">
        <f aca="false">IF(Tasks[[#This Row],[_Pred2Text]]="","",IFERROR(VALUE(LEFT(Tasks[[#This Row],[_Pred2Text]],MIN(FIND("F",Tasks[[#This Row],[_Pred2Text]]&amp;"F"),FIND("S",Tasks[[#This Row],[_Pred2Text]]&amp;"S"),FIND("+",Tasks[[#This Row],[_Pred2Text]]&amp;"+"),FIND("-",Tasks[[#This Row],[_Pred2Text]]&amp;"-"))-1)),""))</f>
        <v/>
      </c>
      <c r="CT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4" s="42" t="str">
        <f aca="false">IF(Tasks[[#This Row],[_Pred2Text]]="","",TRIM(MID(SUBSTITUTE(SUBSTITUTE(SUBSTITUTE(UPPER(Tasks[[#This Row],[_Predecessors]]),";",",")," ",""),",",REPT(" ",99)),199,99)))</f>
        <v/>
      </c>
      <c r="CW64" s="42" t="str">
        <f aca="false">IF(Tasks[[#This Row],[_Pred3Text]]="","",IFERROR(VALUE(LEFT(Tasks[[#This Row],[_Pred3Text]],MIN(FIND("F",Tasks[[#This Row],[_Pred3Text]]&amp;"F"),FIND("S",Tasks[[#This Row],[_Pred3Text]]&amp;"S"),FIND("+",Tasks[[#This Row],[_Pred3Text]]&amp;"+"),FIND("-",Tasks[[#This Row],[_Pred3Text]]&amp;"-"))-1)),""))</f>
        <v/>
      </c>
      <c r="CX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4" s="42" t="str">
        <f aca="false">IF(Tasks[[#This Row],[_Pred3Text]]="","",TRIM(MID(SUBSTITUTE(SUBSTITUTE(SUBSTITUTE(UPPER(Tasks[[#This Row],[_Predecessors]]),";",",")," ",""),",",REPT(" ",99)),298,99)))</f>
        <v/>
      </c>
      <c r="DA64" s="42" t="str">
        <f aca="false">IF(Tasks[[#This Row],[_Pred4Text]]="","",IFERROR(VALUE(LEFT(Tasks[[#This Row],[_Pred4Text]],MIN(FIND("F",Tasks[[#This Row],[_Pred4Text]]&amp;"F"),FIND("S",Tasks[[#This Row],[_Pred4Text]]&amp;"S"),FIND("+",Tasks[[#This Row],[_Pred4Text]]&amp;"+"),FIND("-",Tasks[[#This Row],[_Pred4Text]]&amp;"-"))-1)),""))</f>
        <v/>
      </c>
      <c r="DB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4" s="42" t="str">
        <f aca="false">IF(OR(Tasks[[#This Row],[Task Name]]="",Tasks[[#This Row],[_Resources]]=""),"",TRIM(MID(SUBSTITUTE(Tasks[[#This Row],[_Resources]],",",REPT(" ",99)),1,99)))</f>
        <v/>
      </c>
      <c r="DE64" s="42" t="str">
        <f aca="false">IF(Tasks[[#This Row],[_Res1Text]]="","",TRIM(MID(SUBSTITUTE(Tasks[[#This Row],[_Resources]],",",REPT(" ",99)),100,99)))</f>
        <v/>
      </c>
      <c r="DF64" s="42" t="str">
        <f aca="false">IF(Tasks[[#This Row],[_Res2Text]]="","",TRIM(MID(SUBSTITUTE(Tasks[[#This Row],[_Resources]],",",REPT(" ",99)),199,99)))</f>
        <v/>
      </c>
      <c r="DG64" s="42" t="str">
        <f aca="false">IF(Tasks[[#This Row],[_Res3Text]]="","",TRIM(MID(SUBSTITUTE(Tasks[[#This Row],[_Resources]],",",REPT(" ",99)),298,99)))</f>
        <v/>
      </c>
      <c r="DH64" s="42" t="n">
        <f aca="false">IF(Tasks[[#This Row],[_Res1Text]]="",0,IFERROR(MATCH(TRIM(LEFT(Tasks[[#This Row],[_Res1Text]],FIND("[",Tasks[[#This Row],[_Res1Text]]&amp;"[")-1)),res_Name,0),IFERROR(MATCH(TRIM(LEFT(Tasks[[#This Row],[_Res1Text]],FIND("[",Tasks[[#This Row],[_Res1Text]]&amp;"[")-1)),res_Initials,0),0)))</f>
        <v>0</v>
      </c>
      <c r="DI64" s="42" t="n">
        <f aca="false">IF(Tasks[[#This Row],[_Res2Text]]="",0,IFERROR(MATCH(TRIM(LEFT(Tasks[[#This Row],[_Res2Text]],FIND("[",Tasks[[#This Row],[_Res2Text]]&amp;"[")-1)),res_Name,0),IFERROR(MATCH(TRIM(LEFT(Tasks[[#This Row],[_Res2Text]],FIND("[",Tasks[[#This Row],[_Res2Text]]&amp;"[")-1)),res_Initials,0),0)))</f>
        <v>0</v>
      </c>
      <c r="DJ64" s="42" t="n">
        <f aca="false">IF(Tasks[[#This Row],[_Res3Text]]="",0,IFERROR(MATCH(TRIM(LEFT(Tasks[[#This Row],[_Res3Text]],FIND("[",Tasks[[#This Row],[_Res3Text]]&amp;"[")-1)),res_Name,0),IFERROR(MATCH(TRIM(LEFT(Tasks[[#This Row],[_Res3Text]],FIND("[",Tasks[[#This Row],[_Res3Text]]&amp;"[")-1)),res_Initials,0),0)))</f>
        <v>0</v>
      </c>
      <c r="DK64" s="42" t="n">
        <f aca="false">IF(Tasks[[#This Row],[_Res4Text]]="",0,IFERROR(MATCH(TRIM(LEFT(Tasks[[#This Row],[_Res4Text]],FIND("[",Tasks[[#This Row],[_Res4Text]]&amp;"[")-1)),res_Name,0),IFERROR(MATCH(TRIM(LEFT(Tasks[[#This Row],[_Res4Text]],FIND("[",Tasks[[#This Row],[_Res4Text]]&amp;"[")-1)),res_Initials,0),0)))</f>
        <v>0</v>
      </c>
      <c r="DL64" s="42" t="str">
        <f aca="false">IF(Tasks[[#This Row],[_Res1Text]]="","",IF(Tasks[[#This Row],[_Res1Row]]&gt;0,INDEX(res_Name,Tasks[[#This Row],[_Res1Row]]),TRIM(LEFT(Tasks[[#This Row],[_Res1Text]],FIND("[",Tasks[[#This Row],[_Res1Text]]&amp;"[")-1))))</f>
        <v/>
      </c>
      <c r="DM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4" s="42" t="n">
        <f aca="false">IF(NOT(Tasks[[#This Row],[_IsLeaf]]=1),0,(Tasks[[#This Row],[_Resource1]]&lt;&gt;"")+(Tasks[[#This Row],[_Res2]]&lt;&gt;"")+(Tasks[[#This Row],[_Res3]]&lt;&gt;"")+(Tasks[[#This Row],[_Res4]]&lt;&gt;""))</f>
        <v>0</v>
      </c>
      <c r="DO64" s="42" t="str">
        <f aca="false">IF(Tasks[[#This Row],[_Res2Text]]="","",IF(Tasks[[#This Row],[_Res2Row]]&gt;0,INDEX(res_Name,Tasks[[#This Row],[_Res2Row]]),TRIM(LEFT(Tasks[[#This Row],[_Res2Text]],FIND("[",Tasks[[#This Row],[_Res2Text]]&amp;"[")-1))))</f>
        <v/>
      </c>
      <c r="DP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4" s="42" t="n">
        <f aca="false">IF(OR(NOT(Tasks[[#This Row],[_IsLeaf]]=1),Tasks[[#This Row],[_Res2Row]]=0),0,N(Tasks[[#This Row],[_Days]])*HoursPerDay*IF(Tasks[[#This Row],[_Res2Units]]="",DefaultUnits,Tasks[[#This Row],[_Res2Units]]))</f>
        <v>0</v>
      </c>
      <c r="DR64" s="42" t="n">
        <f aca="false">IF(AND(AND(Tasks[[#This Row],[_IsLeaf]]=1,Tasks[[#This Row],[_LeafTotalWork]]&gt;0),Tasks[[#This Row],[_Res2Work]]&gt;0),Tasks[[#This Row],[_Res2Work]]/(Tasks[[#This Row],[_FinishWorkday]]-Tasks[[#This Row],[_StartWorkday]]+1),0)</f>
        <v>0</v>
      </c>
      <c r="DS64" s="42" t="n">
        <f aca="false">Tasks[[#This Row],[_Res2WorkPerWD]]*MAX(0,Tasks[[#This Row],[_StartWorkday]]-1)</f>
        <v>0</v>
      </c>
      <c r="DT64" s="42" t="n">
        <f aca="false">Tasks[[#This Row],[_Res2Work]]*Tasks[[#This Row],[_LeafProgress]]</f>
        <v>0</v>
      </c>
      <c r="DU64" s="42" t="str">
        <f aca="false">IF(Tasks[[#This Row],[_Res3Text]]="","",IF(Tasks[[#This Row],[_Res3Row]]&gt;0,INDEX(res_Name,Tasks[[#This Row],[_Res3Row]]),TRIM(LEFT(Tasks[[#This Row],[_Res3Text]],FIND("[",Tasks[[#This Row],[_Res3Text]]&amp;"[")-1))))</f>
        <v/>
      </c>
      <c r="DV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4" s="42" t="n">
        <f aca="false">IF(OR(NOT(Tasks[[#This Row],[_IsLeaf]]=1),Tasks[[#This Row],[_Res3Row]]=0),0,N(Tasks[[#This Row],[_Days]])*HoursPerDay*IF(Tasks[[#This Row],[_Res3Units]]="",DefaultUnits,Tasks[[#This Row],[_Res3Units]]))</f>
        <v>0</v>
      </c>
      <c r="DX64" s="42" t="n">
        <f aca="false">IF(AND(AND(Tasks[[#This Row],[_IsLeaf]]=1,Tasks[[#This Row],[_LeafTotalWork]]&gt;0),Tasks[[#This Row],[_Res3Work]]&gt;0),Tasks[[#This Row],[_Res3Work]]/(Tasks[[#This Row],[_FinishWorkday]]-Tasks[[#This Row],[_StartWorkday]]+1),0)</f>
        <v>0</v>
      </c>
      <c r="DY64" s="42" t="n">
        <f aca="false">Tasks[[#This Row],[_Res3WorkPerWD]]*MAX(0,Tasks[[#This Row],[_StartWorkday]]-1)</f>
        <v>0</v>
      </c>
      <c r="DZ64" s="42" t="n">
        <f aca="false">Tasks[[#This Row],[_Res3Work]]*Tasks[[#This Row],[_LeafProgress]]</f>
        <v>0</v>
      </c>
      <c r="EA64" s="42" t="str">
        <f aca="false">IF(Tasks[[#This Row],[_Res4Text]]="","",IF(Tasks[[#This Row],[_Res4Row]]&gt;0,INDEX(res_Name,Tasks[[#This Row],[_Res4Row]]),TRIM(LEFT(Tasks[[#This Row],[_Res4Text]],FIND("[",Tasks[[#This Row],[_Res4Text]]&amp;"[")-1))))</f>
        <v/>
      </c>
      <c r="EB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4" s="42" t="n">
        <f aca="false">IF(OR(NOT(Tasks[[#This Row],[_IsLeaf]]=1),Tasks[[#This Row],[_Res4Row]]=0),0,N(Tasks[[#This Row],[_Days]])*HoursPerDay*IF(Tasks[[#This Row],[_Res4Units]]="",DefaultUnits,Tasks[[#This Row],[_Res4Units]]))</f>
        <v>0</v>
      </c>
      <c r="ED64" s="42" t="n">
        <f aca="false">IF(AND(AND(Tasks[[#This Row],[_IsLeaf]]=1,Tasks[[#This Row],[_LeafTotalWork]]&gt;0),Tasks[[#This Row],[_Res4Work]]&gt;0),Tasks[[#This Row],[_Res4Work]]/(Tasks[[#This Row],[_FinishWorkday]]-Tasks[[#This Row],[_StartWorkday]]+1),0)</f>
        <v>0</v>
      </c>
      <c r="EE64" s="42" t="n">
        <f aca="false">Tasks[[#This Row],[_Res4WorkPerWD]]*MAX(0,Tasks[[#This Row],[_StartWorkday]]-1)</f>
        <v>0</v>
      </c>
      <c r="EF64" s="42" t="n">
        <f aca="false">Tasks[[#This Row],[_Res4Work]]*Tasks[[#This Row],[_LeafProgress]]</f>
        <v>0</v>
      </c>
      <c r="EG64" s="42" t="n">
        <f aca="false">IF(ISNUMBER(Tasks[[#This Row],[% Complete]]),Tasks[[#This Row],[% Complete]],IF(Tasks[[#This Row],[Stage]]="",0,IFERROR(INDEX(stg_Pct,MATCH(Tasks[[#This Row],[Stage]],stg_Name,0)),0)))</f>
        <v>0</v>
      </c>
      <c r="EH64" s="42" t="n">
        <f aca="false">IF(NOT(Tasks[[#This Row],[_IsLeaf]]=1),0,IF(N(Tasks[[#This Row],[Actual Finish]])&gt;0,1,MIN(1,Tasks[[#This Row],[_Pct]])))</f>
        <v>0</v>
      </c>
      <c r="EI64" s="42" t="n">
        <f aca="false">IF(OR(NOT(Tasks[[#This Row],[_IsLeaf]]=1),Tasks[[#This Row],[_Res1Row]]=0),0,N(Tasks[[#This Row],[_Days]])*HoursPerDay*IF(Tasks[[#This Row],[_Units1]]="",DefaultUnits,Tasks[[#This Row],[_Units1]]))</f>
        <v>0</v>
      </c>
      <c r="EJ64" s="42" t="n">
        <f aca="false">Tasks[[#This Row],[_LeafWork]]+Tasks[[#This Row],[_Res2Work]]+Tasks[[#This Row],[_Res3Work]]+Tasks[[#This Row],[_Res4Work]]</f>
        <v>0</v>
      </c>
      <c r="EK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4" s="42" t="n">
        <f aca="false">IF(NOT(Tasks[[#This Row],[_IsLeaf]]=1),0,MAX(_xlfn.MAXIFS(Tasks[_Row],Tasks[_Pred1UID],Tasks[[#This Row],[UID]]),_xlfn.MAXIFS(Tasks[_Row],Tasks[_Pred2UID],Tasks[[#This Row],[UID]]),_xlfn.MAXIFS(Tasks[_Row],Tasks[_Pred3UID],Tasks[[#This Row],[UID]]),_xlfn.MAXIFS(Tasks[_Row],Tasks[_Pred4UID],Tasks[[#This Row],[UID]])))</f>
        <v>0</v>
      </c>
      <c r="ET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4" s="89" t="str">
        <f aca="false">IF(NOT(Tasks[[#This Row],[_IsLeaf]]=1),"",IF(N(Tasks[[#This Row],[_Days]])&lt;=0,Tasks[[#This Row],[_LeafLateFinish]],WORKDAY.INTL(Tasks[[#This Row],[_LeafLateFinish]],-(Tasks[[#This Row],[_Days]]-1),WorkWeek,Holidays)))</f>
        <v/>
      </c>
      <c r="EW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4" s="88" t="b">
        <f aca="false">AND(Tasks[[#This Row],[_IsLeaf]]=1,Tasks[[#This Row],[_LeafProgress]]&lt;1,N(Tasks[[#This Row],[_LeafTotalSlack]])&lt;=CriticalSlackDays)</f>
        <v>0</v>
      </c>
      <c r="EY64" s="42" t="n">
        <f aca="false">IF(AND(Tasks[[#This Row],[_IsLeaf]]=1,Tasks[[#This Row],[_ConstraintCode]]=1,Tasks[[#This Row],[Mode]]&lt;&gt;"Manual",N(Tasks[[#This Row],[Actual Start]])=0),MAX(0,N(Tasks[[#This Row],[Free Slack]])),0)</f>
        <v>0</v>
      </c>
      <c r="EZ64" s="89" t="str">
        <f aca="false">IF(NOT(Tasks[[#This Row],[_IsLeaf]]=1),"",IF(Tasks[[#This Row],[_AlapShift]]=0,Tasks[[#This Row],[_LeafCalcStart]],WORKDAY.INTL(Tasks[[#This Row],[_LeafCalcStart]],Tasks[[#This Row],[_AlapShift]],WorkWeek,Holidays)))</f>
        <v/>
      </c>
      <c r="FA64" s="89" t="str">
        <f aca="false">IF(NOT(Tasks[[#This Row],[_IsLeaf]]=1),"",IF(Tasks[[#This Row],[_AlapShift]]=0,Tasks[[#This Row],[_LeafCalcFinish]],WORKDAY.INTL(Tasks[[#This Row],[_LeafCalcFinish]],Tasks[[#This Row],[_AlapShift]],WorkWeek,Holidays)))</f>
        <v/>
      </c>
      <c r="FB64" s="89" t="str">
        <f aca="false">IF(NOT(Tasks[[#This Row],[_IsLeaf]]=1),"",IF(Tasks[[#This Row],[_AlapShift]]=0,Tasks[[#This Row],[_LeafFcstStart]],WORKDAY.INTL(Tasks[[#This Row],[_LeafFcstStart]],Tasks[[#This Row],[_AlapShift]],WorkWeek,Holidays)))</f>
        <v/>
      </c>
      <c r="FC64" s="89" t="str">
        <f aca="false">IF(NOT(Tasks[[#This Row],[_IsLeaf]]=1),"",IF(Tasks[[#This Row],[_AlapShift]]=0,Tasks[[#This Row],[_LeafFcstFinish]],WORKDAY.INTL(Tasks[[#This Row],[_LeafFcstFinish]],Tasks[[#This Row],[_AlapShift]],WorkWeek,Holidays)))</f>
        <v/>
      </c>
      <c r="FD64" s="89" t="str">
        <f aca="false">IF(Tasks[[#This Row],[Task Name]]="","",IF(Tasks[[#This Row],[_IsSummary]],MIN(INDEX(Tasks[_ShownCalcStart],Tasks[[#This Row],[_Row]]+1):INDEX(Tasks[_ShownCalcStart],Tasks[[#This Row],[_Row]]+Tasks[[#This Row],[_Descendants]])),Tasks[[#This Row],[_ShownCalcStart]]))</f>
        <v/>
      </c>
      <c r="FE64" s="89" t="str">
        <f aca="false">IF(Tasks[[#This Row],[Task Name]]="","",IF(Tasks[[#This Row],[_IsSummary]],MAX(INDEX(Tasks[_ShownCalcFinish],Tasks[[#This Row],[_Row]]+1):INDEX(Tasks[_ShownCalcFinish],Tasks[[#This Row],[_Row]]+Tasks[[#This Row],[_Descendants]])),Tasks[[#This Row],[_ShownCalcFinish]]))</f>
        <v/>
      </c>
      <c r="FF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4" s="42" t="n">
        <f aca="false">IF(AND(Tasks[[#This Row],[_IsLeaf]]=1,Tasks[[#This Row],[_LeafTotalWork]]&gt;0),NETWORKDAYS.INTL(ProjectStart,Tasks[[#This Row],[_ShownFcstStart]],WorkWeek,Holidays),0)</f>
        <v>0</v>
      </c>
      <c r="FS64" s="42" t="n">
        <f aca="false">IF(AND(Tasks[[#This Row],[_IsLeaf]]=1,Tasks[[#This Row],[_LeafTotalWork]]&gt;0),MAX(Tasks[[#This Row],[_StartWorkday]],NETWORKDAYS.INTL(ProjectStart,Tasks[[#This Row],[_ShownFcstFinish]],WorkWeek,Holidays)),0)</f>
        <v>0</v>
      </c>
      <c r="FT64" s="42" t="n">
        <f aca="false">IF(AND(Tasks[[#This Row],[_IsLeaf]]=1,Tasks[[#This Row],[_LeafTotalWork]]&gt;0),Tasks[[#This Row],[_LeafWork]]/(Tasks[[#This Row],[_FinishWorkday]]-Tasks[[#This Row],[_StartWorkday]]+1),0)</f>
        <v>0</v>
      </c>
      <c r="FU64" s="42" t="n">
        <f aca="false">Tasks[[#This Row],[_WorkPerWorkday]]*(Tasks[[#This Row],[_StartWorkday]]-1)</f>
        <v>-0</v>
      </c>
      <c r="FV64" s="42" t="n">
        <f aca="false">IF(Tasks[[#This Row],[_IsLeaf]]=1,MAX(N(Tasks[[#This Row],[_Days]]),0.1),0)</f>
        <v>0</v>
      </c>
      <c r="FW64" s="42" t="n">
        <f aca="false">Tasks[[#This Row],[_WeightDur]]*Tasks[[#This Row],[_LeafProgress]]</f>
        <v>0</v>
      </c>
      <c r="FX64" s="42" t="n">
        <f aca="false">Tasks[[#This Row],[_WeightDur]]*Tasks[[#This Row],[_PlannedPct]]</f>
        <v>0</v>
      </c>
      <c r="FY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4" s="42" t="str">
        <f aca="false">IF(AND(Tasks[[#This Row],[_IsLeaf]]=1,N(Tasks[[#This Row],[_Days]])=0,Tasks[[#This Row],[_LeafProgress]]&lt;1),Tasks[[#This Row],[_ShownFcstFinish]]+Tasks[[#This Row],[_Row]]/100000,"")</f>
        <v/>
      </c>
      <c r="GA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4" s="42" t="str">
        <f aca="false">IF(Tasks[[#This Row],[Task Name]]="","",LEFT(Tasks[[#This Row],[WBS]],FIND(".",Tasks[[#This Row],[WBS]]&amp;".")-1))</f>
        <v/>
      </c>
      <c r="GC64" s="42" t="str">
        <f aca="false">IF(AND(Tasks[[#This Row],[Task Name]]&lt;&gt;"",Tasks[[#This Row],[_Level]]=1),Tasks[[#This Row],[_Row]],"")</f>
        <v/>
      </c>
      <c r="GD64" s="42" t="str">
        <f aca="false">IF(AND(Tasks[[#This Row],[_IsLeaf]]=1,N(Tasks[[#This Row],[_Days]])=0),Tasks[[#This Row],[Planned Finish]]+Tasks[[#This Row],[_Row]]/100000,"")</f>
        <v/>
      </c>
      <c r="GE64" s="42" t="str">
        <f aca="false">IF(AND(Tasks[[#This Row],[_IsLeaf]]=1,Tasks[[#This Row],[_LeafProgress]]&lt;1,OR(N(Tasks[[#This Row],[Finish Var]])&gt;0,Tasks[[#This Row],[Status]]="Late Start")),MAX(0,Tasks[[#This Row],[Finish Var]])+1-Tasks[[#This Row],[_Row]]/1000000,"")</f>
        <v/>
      </c>
      <c r="GF64" s="42" t="str">
        <f aca="false">IF(AND(Tasks[[#This Row],[_IsLeaf]]=1,N(Tasks[[#This Row],[Actual Start]])=0,Tasks[[#This Row],[_ShownFcstStart]]&gt;=StatusDate,Tasks[[#This Row],[_ShownFcstStart]]&lt;=LookaheadEnd),Tasks[[#This Row],[_ShownFcstStart]]+Tasks[[#This Row],[_Row]]/100000,"")</f>
        <v/>
      </c>
      <c r="GG64" s="42" t="str">
        <f aca="false">IF(AND(Tasks[[#This Row],[_IsLeaf]]=1,Tasks[[#This Row],[_LeafProgress]]&lt;1,Tasks[[#This Row],[_ShownFcstFinish]]&gt;=StatusDate,Tasks[[#This Row],[_ShownFcstFinish]]&lt;=LookaheadEnd),Tasks[[#This Row],[_ShownFcstFinish]]+Tasks[[#This Row],[_Row]]/100000,"")</f>
        <v/>
      </c>
      <c r="GH64" s="42" t="str">
        <f aca="false">IF(Tasks[[#This Row],[_LeafCritical]],Tasks[[#This Row],[_ShownFcstStart]]+Tasks[[#This Row],[_Row]]/100000,"")</f>
        <v/>
      </c>
      <c r="GI64" s="42" t="n">
        <f aca="false">Tasks[[#This Row],[_LeafWork]]*Tasks[[#This Row],[_LeafProgress]]</f>
        <v>0</v>
      </c>
      <c r="GJ64" s="89" t="str">
        <f aca="false">IF(AND(Tasks[[#This Row],[_IsLeaf]]=1,Tasks[[#This Row],[_LeafProgress]]&gt;=1),IF(N(Tasks[[#This Row],[Actual Finish]])&gt;0,Tasks[[#This Row],[Actual Finish]],Tasks[[#This Row],[_ShownFcstFinish]]),"")</f>
        <v/>
      </c>
      <c r="GK64" s="42" t="n">
        <f aca="false">IF(Tasks[[#This Row],[_IsLeaf]]=1,N(Tasks[[#This Row],[Story Points]]),0)</f>
        <v>0</v>
      </c>
      <c r="GL64" s="42" t="str">
        <f aca="false">""</f>
        <v/>
      </c>
      <c r="GM64" s="88" t="b">
        <f aca="false">IF(Tasks[[#This Row],[Task Name]]="",FALSE(),AND(Tasks[[#This Row],[_IsLeaf]]=1,N(Tasks[[#This Row],[_Days]])=0))</f>
        <v>0</v>
      </c>
      <c r="GN64" s="89" t="n">
        <f aca="false">IF(Tasks[[#This Row],[Task Name]]="",0,IF(AND(Tasks[[#This Row],[_IsLeaf]]=1,NOT(Tasks[[#This Row],[_IsMilestone]]),N(Tasks[[#This Row],[Progress]])&gt;0),Tasks[[#This Row],[Start]],0))</f>
        <v>0</v>
      </c>
      <c r="GO64" s="89" t="n">
        <f aca="false">IF(Tasks[[#This Row],[_DoneFrom]]=0,0,IF(Tasks[[#This Row],[Progress]]&gt;=1,Tasks[[#This Row],[Finish]],MAX(Tasks[[#This Row],[_DoneFrom]],Tasks[[#This Row],[Start]]+ROUND((Tasks[[#This Row],[Finish]]-Tasks[[#This Row],[Start]]+1)*Tasks[[#This Row],[Progress]],0)-1)))</f>
        <v>0</v>
      </c>
      <c r="GP64" s="89" t="n">
        <f aca="false">IF(Tasks[[#This Row],[Task Name]]="",0,IF(OR(NOT(Tasks[[#This Row],[_IsLeaf]]=1),Tasks[[#This Row],[_IsMilestone]],N(Tasks[[#This Row],[Progress]])&gt;=1),0,IF(Tasks[[#This Row],[_DoneTo]]&gt;0,Tasks[[#This Row],[_DoneTo]]+1,Tasks[[#This Row],[Start]])))</f>
        <v>0</v>
      </c>
      <c r="GQ64" s="89" t="n">
        <f aca="false">IF(Tasks[[#This Row],[_RemFrom]]=0,0,Tasks[[#This Row],[Finish]])</f>
        <v>0</v>
      </c>
      <c r="GR64" s="88" t="b">
        <f aca="false">IF(Tasks[[#This Row],[Task Name]]="",FALSE(),OR(NOT(BaselineSet),N(Tasks[[#This Row],[Baseline Start]])&gt;0))</f>
        <v>0</v>
      </c>
      <c r="GS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4" s="90" t="str">
        <f aca="false">IF(Tasks[[#This Row],[_IsLeaf]]=1,Tasks[[#This Row],[_Row]],"")</f>
        <v/>
      </c>
      <c r="GW64" s="90" t="str">
        <f aca="false">IFERROR(INDEX(Tasks[UID],SMALL(Tasks[_PickKey],Tasks[[#This Row],[_Row]]))&amp;" "&amp;INDEX(Tasks[Task Name],SMALL(Tasks[_PickKey],Tasks[[#This Row],[_Row]])),"")</f>
        <v/>
      </c>
      <c r="GX64" s="42" t="str">
        <f aca="false">IF(Tasks[[#This Row],[Task Name]]="","",IF(Tasks[[#This Row],[_IsSummary]],NETWORKDAYS.INTL(Tasks[[#This Row],[Start]],Tasks[[#This Row],[Finish]],WorkWeek,Holidays),N(Tasks[[#This Row],[_Days]])))</f>
        <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3"/>
      <c r="U65" s="23"/>
      <c r="V65" s="83"/>
      <c r="W65" s="23"/>
      <c r="X65" s="83"/>
      <c r="Y65" s="23"/>
      <c r="Z65" s="83"/>
      <c r="AA65" s="23"/>
      <c r="AB65" s="23"/>
      <c r="AC65" s="7"/>
      <c r="AD65" s="7"/>
      <c r="AE65" s="62" t="str">
        <f aca="false">IF(Tasks[[#This Row],[Task Name]]="","",IF(Tasks[[#This Row],[_IsSummary]],MIN(INDEX(Tasks[_ShownFcstStart],Tasks[[#This Row],[_Row]]+1):INDEX(Tasks[_ShownFcstStart],Tasks[[#This Row],[_Row]]+Tasks[[#This Row],[_Descendants]])),Tasks[[#This Row],[_ShownFcstStart]]))</f>
        <v/>
      </c>
      <c r="AF65" s="62"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5" s="7"/>
      <c r="AK65" s="22"/>
      <c r="AL65" s="23"/>
      <c r="AM65" s="7"/>
      <c r="AN65" s="46"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2" t="str">
        <f aca="false">IF(Tasks[[#This Row],[Task Name]]="","",IF(N(Tasks[[#This Row],[Baseline Start]])&gt;0,Tasks[[#This Row],[Baseline Start]],Tasks[[#This Row],[_CalcStart]]))</f>
        <v/>
      </c>
      <c r="AR65" s="62" t="str">
        <f aca="false">IF(Tasks[[#This Row],[Task Name]]="","",IF(N(Tasks[[#This Row],[Baseline Finish]])&gt;0,Tasks[[#This Row],[Baseline Finish]],Tasks[[#This Row],[_CalcFinish]]))</f>
        <v/>
      </c>
      <c r="AS65" s="46" t="str">
        <f aca="false">IF(Tasks[[#This Row],[Task Name]]="","",IF(Tasks[[#This Row],[Start]]&gt;=Tasks[[#This Row],[Planned Start]],NETWORKDAYS.INTL(Tasks[[#This Row],[Planned Start]],Tasks[[#This Row],[Start]],WorkWeek,Holidays)-1,1-NETWORKDAYS.INTL(Tasks[[#This Row],[Start]],Tasks[[#This Row],[Planned Start]],WorkWeek,Holidays)))</f>
        <v/>
      </c>
      <c r="AT65" s="62" t="str">
        <f aca="false">IF(Tasks[[#This Row],[Task Name]]="","",IF(Tasks[[#This Row],[_IsSummary]],MIN(INDEX(Tasks[_LeafLateStart],Tasks[[#This Row],[_Row]]+1):INDEX(Tasks[_LeafLateStart],Tasks[[#This Row],[_Row]]+Tasks[[#This Row],[_Descendants]])),Tasks[[#This Row],[_LeafLateStart]]))</f>
        <v/>
      </c>
      <c r="AU65" s="62" t="str">
        <f aca="false">IF(Tasks[[#This Row],[Task Name]]="","",IF(Tasks[[#This Row],[_IsSummary]],MAX(INDEX(Tasks[_LeafLateFinish],Tasks[[#This Row],[_Row]]+1):INDEX(Tasks[_LeafLateFinish],Tasks[[#This Row],[_Row]]+Tasks[[#This Row],[_Descendants]])),Tasks[[#This Row],[_LeafLateFinish]]))</f>
        <v/>
      </c>
      <c r="AV65" s="46"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4"/>
      <c r="BA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5"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6"/>
      <c r="BJ65" s="22"/>
      <c r="BK65" s="46" t="str">
        <f aca="false">IF(OR(Tasks[[#This Row],[Task Name]]="",Tasks[[#This Row],[Baseline Duration]]=""),"",Tasks[[#This Row],[_SpanDays]]-N(Tasks[[#This Row],[Baseline Duration]]))</f>
        <v/>
      </c>
      <c r="BL65" s="85" t="str">
        <f aca="false">IF(OR(Tasks[[#This Row],[Task Name]]="",Tasks[[#This Row],[Baseline Work]]=""),"",Tasks[[#This Row],[Work]]-N(Tasks[[#This Row],[Baseline Work]]))</f>
        <v/>
      </c>
      <c r="BM65" s="62" t="str">
        <f aca="false">IF(Tasks[[#This Row],[Task Name]]="","",IF(OR(TakeBaseline="Yes",N(Tasks[[#This Row],[Baseline Start]])=0),Tasks[[#This Row],[Start]],Tasks[[#This Row],[Baseline Start]]))</f>
        <v/>
      </c>
      <c r="BN65" s="62"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5" t="str">
        <f aca="false">IF(Tasks[[#This Row],[Task Name]]="","",IF(OR(TakeBaseline="Yes",N(Tasks[[#This Row],[Baseline Work]])=0),Tasks[[#This Row],[Work]],Tasks[[#This Row],[Baseline Work]]))</f>
        <v/>
      </c>
      <c r="BQ65" s="7"/>
      <c r="BR65" s="7"/>
      <c r="BS65" s="22"/>
      <c r="BT65" s="87"/>
      <c r="BU65" s="42" t="str">
        <f aca="false">IF(Tasks[[#This Row],[Task Name]]="","",MAX(1,N(Tasks[[#This Row],[Level]])))</f>
        <v/>
      </c>
      <c r="BV65" s="42" t="n">
        <f aca="false">ROW()-ROW(Tasks[[#Headers],[ID]])</f>
        <v>60</v>
      </c>
      <c r="BW65" s="42" t="n">
        <f aca="false">IF(OR(Tasks[[#This Row],[Task Name]]="",Tasks[[#This Row],[_Level]]&lt;=1),0,IFERROR(LOOKUP(2,1/(Tasks[[#Headers],[_Level]]:Tasks[[#This Row],[_Level]]=Tasks[[#This Row],[_Level]]-1),ROW(Tasks[[#Headers],[_Level]]:Tasks[[#This Row],[_Level]])),0))</f>
        <v>0</v>
      </c>
      <c r="BX65" s="42" t="n">
        <f aca="false">IFERROR(N(INDEX(Tasks[_Level],Tasks[[#This Row],[_Row]]+1)),0)</f>
        <v>0</v>
      </c>
      <c r="BY65" s="88" t="b">
        <f aca="false">AND(Tasks[[#This Row],[Task Name]]&lt;&gt;"",Tasks[[#This Row],[_NextLevel]]&gt;Tasks[[#This Row],[_Level]])</f>
        <v>0</v>
      </c>
      <c r="BZ65" s="42" t="n">
        <f aca="false">IF(Tasks[[#This Row],[_IsSummary]],COUNTIF(Tasks[WBS],Tasks[[#This Row],[WBS]]&amp;".*"),0)</f>
        <v>0</v>
      </c>
      <c r="CA65" s="42" t="n">
        <f aca="false">IF(AND(Tasks[[#This Row],[Task Name]]&lt;&gt;"",NOT(Tasks[[#This Row],[_IsSummary]])),1,0)</f>
        <v>0</v>
      </c>
      <c r="CB65" s="42" t="n">
        <f aca="false">IF(N(Tasks[[#This Row],[_Pred1UID]])=0,0,IFERROR(MATCH(Tasks[[#This Row],[_Pred1UID]],Tasks[UID],0),-1))</f>
        <v>0</v>
      </c>
      <c r="CC65" s="42" t="n">
        <f aca="false">IF(N(Tasks[[#This Row],[_Pred2UID]])=0,0,IFERROR(MATCH(Tasks[[#This Row],[_Pred2UID]],Tasks[UID],0),-1))</f>
        <v>0</v>
      </c>
      <c r="CD65" s="42" t="n">
        <f aca="false">IF(N(Tasks[[#This Row],[_Pred3UID]])=0,0,IFERROR(MATCH(Tasks[[#This Row],[_Pred3UID]],Tasks[UID],0),-1))</f>
        <v>0</v>
      </c>
      <c r="CE65" s="42" t="n">
        <f aca="false">IF(N(Tasks[[#This Row],[_Pred4UID]])=0,0,IFERROR(MATCH(Tasks[[#This Row],[_Pred4UID]],Tasks[UID],0),-1))</f>
        <v>0</v>
      </c>
      <c r="CF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5" s="89" t="n">
        <f aca="false">IF(OR(Tasks[[#This Row],[_ConstraintCode]]=2,Tasks[[#This Row],[_ConstraintCode]]=3,Tasks[[#This Row],[_ConstraintCode]]=4,Tasks[[#This Row],[_ConstraintCode]]=6),Tasks[[#This Row],[_ConstraintStart]],0)</f>
        <v>0</v>
      </c>
      <c r="CI65" s="89" t="n">
        <f aca="false">IF(OR(Tasks[[#This Row],[_ConstraintCode]]=2,Tasks[[#This Row],[_ConstraintCode]]=3,Tasks[[#This Row],[_ConstraintCode]]=5,Tasks[[#This Row],[_ConstraintCode]]=7),Tasks[[#This Row],[_ConstraintStart]],2958465)</f>
        <v>2958465</v>
      </c>
      <c r="CJ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5" s="89" t="str">
        <f aca="false">IF(NOT(Tasks[[#This Row],[_IsLeaf]]=1),"",IF(N(Tasks[[#This Row],[_Days]])&lt;=0,Tasks[[#This Row],[_LeafCalcStart]],WORKDAY.INTL(Tasks[[#This Row],[_LeafCalcStart]],Tasks[[#This Row],[_Days]]-1,WorkWeek,Holidays)))</f>
        <v/>
      </c>
      <c r="CL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5" s="42" t="str">
        <f aca="false">IF(Tasks[[#This Row],[_Predecessors]]="","",TRIM(MID(SUBSTITUTE(SUBSTITUTE(SUBSTITUTE(UPPER(Tasks[[#This Row],[_Predecessors]]),";",",")," ",""),",",REPT(" ",99)),1,99)))</f>
        <v/>
      </c>
      <c r="CO65" s="42" t="str">
        <f aca="false">IF(Tasks[[#This Row],[_Pred1Text]]="","",IFERROR(VALUE(LEFT(Tasks[[#This Row],[_Pred1Text]],MIN(FIND("F",Tasks[[#This Row],[_Pred1Text]]&amp;"F"),FIND("S",Tasks[[#This Row],[_Pred1Text]]&amp;"S"),FIND("+",Tasks[[#This Row],[_Pred1Text]]&amp;"+"),FIND("-",Tasks[[#This Row],[_Pred1Text]]&amp;"-"))-1)),""))</f>
        <v/>
      </c>
      <c r="CP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5" s="42" t="str">
        <f aca="false">IF(Tasks[[#This Row],[_Pred1Text]]="","",TRIM(MID(SUBSTITUTE(SUBSTITUTE(SUBSTITUTE(UPPER(Tasks[[#This Row],[_Predecessors]]),";",",")," ",""),",",REPT(" ",99)),100,99)))</f>
        <v/>
      </c>
      <c r="CS65" s="42" t="str">
        <f aca="false">IF(Tasks[[#This Row],[_Pred2Text]]="","",IFERROR(VALUE(LEFT(Tasks[[#This Row],[_Pred2Text]],MIN(FIND("F",Tasks[[#This Row],[_Pred2Text]]&amp;"F"),FIND("S",Tasks[[#This Row],[_Pred2Text]]&amp;"S"),FIND("+",Tasks[[#This Row],[_Pred2Text]]&amp;"+"),FIND("-",Tasks[[#This Row],[_Pred2Text]]&amp;"-"))-1)),""))</f>
        <v/>
      </c>
      <c r="CT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5" s="42" t="str">
        <f aca="false">IF(Tasks[[#This Row],[_Pred2Text]]="","",TRIM(MID(SUBSTITUTE(SUBSTITUTE(SUBSTITUTE(UPPER(Tasks[[#This Row],[_Predecessors]]),";",",")," ",""),",",REPT(" ",99)),199,99)))</f>
        <v/>
      </c>
      <c r="CW65" s="42" t="str">
        <f aca="false">IF(Tasks[[#This Row],[_Pred3Text]]="","",IFERROR(VALUE(LEFT(Tasks[[#This Row],[_Pred3Text]],MIN(FIND("F",Tasks[[#This Row],[_Pred3Text]]&amp;"F"),FIND("S",Tasks[[#This Row],[_Pred3Text]]&amp;"S"),FIND("+",Tasks[[#This Row],[_Pred3Text]]&amp;"+"),FIND("-",Tasks[[#This Row],[_Pred3Text]]&amp;"-"))-1)),""))</f>
        <v/>
      </c>
      <c r="CX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5" s="42" t="str">
        <f aca="false">IF(Tasks[[#This Row],[_Pred3Text]]="","",TRIM(MID(SUBSTITUTE(SUBSTITUTE(SUBSTITUTE(UPPER(Tasks[[#This Row],[_Predecessors]]),";",",")," ",""),",",REPT(" ",99)),298,99)))</f>
        <v/>
      </c>
      <c r="DA65" s="42" t="str">
        <f aca="false">IF(Tasks[[#This Row],[_Pred4Text]]="","",IFERROR(VALUE(LEFT(Tasks[[#This Row],[_Pred4Text]],MIN(FIND("F",Tasks[[#This Row],[_Pred4Text]]&amp;"F"),FIND("S",Tasks[[#This Row],[_Pred4Text]]&amp;"S"),FIND("+",Tasks[[#This Row],[_Pred4Text]]&amp;"+"),FIND("-",Tasks[[#This Row],[_Pred4Text]]&amp;"-"))-1)),""))</f>
        <v/>
      </c>
      <c r="DB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5" s="42" t="str">
        <f aca="false">IF(OR(Tasks[[#This Row],[Task Name]]="",Tasks[[#This Row],[_Resources]]=""),"",TRIM(MID(SUBSTITUTE(Tasks[[#This Row],[_Resources]],",",REPT(" ",99)),1,99)))</f>
        <v/>
      </c>
      <c r="DE65" s="42" t="str">
        <f aca="false">IF(Tasks[[#This Row],[_Res1Text]]="","",TRIM(MID(SUBSTITUTE(Tasks[[#This Row],[_Resources]],",",REPT(" ",99)),100,99)))</f>
        <v/>
      </c>
      <c r="DF65" s="42" t="str">
        <f aca="false">IF(Tasks[[#This Row],[_Res2Text]]="","",TRIM(MID(SUBSTITUTE(Tasks[[#This Row],[_Resources]],",",REPT(" ",99)),199,99)))</f>
        <v/>
      </c>
      <c r="DG65" s="42" t="str">
        <f aca="false">IF(Tasks[[#This Row],[_Res3Text]]="","",TRIM(MID(SUBSTITUTE(Tasks[[#This Row],[_Resources]],",",REPT(" ",99)),298,99)))</f>
        <v/>
      </c>
      <c r="DH65" s="42" t="n">
        <f aca="false">IF(Tasks[[#This Row],[_Res1Text]]="",0,IFERROR(MATCH(TRIM(LEFT(Tasks[[#This Row],[_Res1Text]],FIND("[",Tasks[[#This Row],[_Res1Text]]&amp;"[")-1)),res_Name,0),IFERROR(MATCH(TRIM(LEFT(Tasks[[#This Row],[_Res1Text]],FIND("[",Tasks[[#This Row],[_Res1Text]]&amp;"[")-1)),res_Initials,0),0)))</f>
        <v>0</v>
      </c>
      <c r="DI65" s="42" t="n">
        <f aca="false">IF(Tasks[[#This Row],[_Res2Text]]="",0,IFERROR(MATCH(TRIM(LEFT(Tasks[[#This Row],[_Res2Text]],FIND("[",Tasks[[#This Row],[_Res2Text]]&amp;"[")-1)),res_Name,0),IFERROR(MATCH(TRIM(LEFT(Tasks[[#This Row],[_Res2Text]],FIND("[",Tasks[[#This Row],[_Res2Text]]&amp;"[")-1)),res_Initials,0),0)))</f>
        <v>0</v>
      </c>
      <c r="DJ65" s="42" t="n">
        <f aca="false">IF(Tasks[[#This Row],[_Res3Text]]="",0,IFERROR(MATCH(TRIM(LEFT(Tasks[[#This Row],[_Res3Text]],FIND("[",Tasks[[#This Row],[_Res3Text]]&amp;"[")-1)),res_Name,0),IFERROR(MATCH(TRIM(LEFT(Tasks[[#This Row],[_Res3Text]],FIND("[",Tasks[[#This Row],[_Res3Text]]&amp;"[")-1)),res_Initials,0),0)))</f>
        <v>0</v>
      </c>
      <c r="DK65" s="42" t="n">
        <f aca="false">IF(Tasks[[#This Row],[_Res4Text]]="",0,IFERROR(MATCH(TRIM(LEFT(Tasks[[#This Row],[_Res4Text]],FIND("[",Tasks[[#This Row],[_Res4Text]]&amp;"[")-1)),res_Name,0),IFERROR(MATCH(TRIM(LEFT(Tasks[[#This Row],[_Res4Text]],FIND("[",Tasks[[#This Row],[_Res4Text]]&amp;"[")-1)),res_Initials,0),0)))</f>
        <v>0</v>
      </c>
      <c r="DL65" s="42" t="str">
        <f aca="false">IF(Tasks[[#This Row],[_Res1Text]]="","",IF(Tasks[[#This Row],[_Res1Row]]&gt;0,INDEX(res_Name,Tasks[[#This Row],[_Res1Row]]),TRIM(LEFT(Tasks[[#This Row],[_Res1Text]],FIND("[",Tasks[[#This Row],[_Res1Text]]&amp;"[")-1))))</f>
        <v/>
      </c>
      <c r="DM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5" s="42" t="n">
        <f aca="false">IF(NOT(Tasks[[#This Row],[_IsLeaf]]=1),0,(Tasks[[#This Row],[_Resource1]]&lt;&gt;"")+(Tasks[[#This Row],[_Res2]]&lt;&gt;"")+(Tasks[[#This Row],[_Res3]]&lt;&gt;"")+(Tasks[[#This Row],[_Res4]]&lt;&gt;""))</f>
        <v>0</v>
      </c>
      <c r="DO65" s="42" t="str">
        <f aca="false">IF(Tasks[[#This Row],[_Res2Text]]="","",IF(Tasks[[#This Row],[_Res2Row]]&gt;0,INDEX(res_Name,Tasks[[#This Row],[_Res2Row]]),TRIM(LEFT(Tasks[[#This Row],[_Res2Text]],FIND("[",Tasks[[#This Row],[_Res2Text]]&amp;"[")-1))))</f>
        <v/>
      </c>
      <c r="DP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5" s="42" t="n">
        <f aca="false">IF(OR(NOT(Tasks[[#This Row],[_IsLeaf]]=1),Tasks[[#This Row],[_Res2Row]]=0),0,N(Tasks[[#This Row],[_Days]])*HoursPerDay*IF(Tasks[[#This Row],[_Res2Units]]="",DefaultUnits,Tasks[[#This Row],[_Res2Units]]))</f>
        <v>0</v>
      </c>
      <c r="DR65" s="42" t="n">
        <f aca="false">IF(AND(AND(Tasks[[#This Row],[_IsLeaf]]=1,Tasks[[#This Row],[_LeafTotalWork]]&gt;0),Tasks[[#This Row],[_Res2Work]]&gt;0),Tasks[[#This Row],[_Res2Work]]/(Tasks[[#This Row],[_FinishWorkday]]-Tasks[[#This Row],[_StartWorkday]]+1),0)</f>
        <v>0</v>
      </c>
      <c r="DS65" s="42" t="n">
        <f aca="false">Tasks[[#This Row],[_Res2WorkPerWD]]*MAX(0,Tasks[[#This Row],[_StartWorkday]]-1)</f>
        <v>0</v>
      </c>
      <c r="DT65" s="42" t="n">
        <f aca="false">Tasks[[#This Row],[_Res2Work]]*Tasks[[#This Row],[_LeafProgress]]</f>
        <v>0</v>
      </c>
      <c r="DU65" s="42" t="str">
        <f aca="false">IF(Tasks[[#This Row],[_Res3Text]]="","",IF(Tasks[[#This Row],[_Res3Row]]&gt;0,INDEX(res_Name,Tasks[[#This Row],[_Res3Row]]),TRIM(LEFT(Tasks[[#This Row],[_Res3Text]],FIND("[",Tasks[[#This Row],[_Res3Text]]&amp;"[")-1))))</f>
        <v/>
      </c>
      <c r="DV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5" s="42" t="n">
        <f aca="false">IF(OR(NOT(Tasks[[#This Row],[_IsLeaf]]=1),Tasks[[#This Row],[_Res3Row]]=0),0,N(Tasks[[#This Row],[_Days]])*HoursPerDay*IF(Tasks[[#This Row],[_Res3Units]]="",DefaultUnits,Tasks[[#This Row],[_Res3Units]]))</f>
        <v>0</v>
      </c>
      <c r="DX65" s="42" t="n">
        <f aca="false">IF(AND(AND(Tasks[[#This Row],[_IsLeaf]]=1,Tasks[[#This Row],[_LeafTotalWork]]&gt;0),Tasks[[#This Row],[_Res3Work]]&gt;0),Tasks[[#This Row],[_Res3Work]]/(Tasks[[#This Row],[_FinishWorkday]]-Tasks[[#This Row],[_StartWorkday]]+1),0)</f>
        <v>0</v>
      </c>
      <c r="DY65" s="42" t="n">
        <f aca="false">Tasks[[#This Row],[_Res3WorkPerWD]]*MAX(0,Tasks[[#This Row],[_StartWorkday]]-1)</f>
        <v>0</v>
      </c>
      <c r="DZ65" s="42" t="n">
        <f aca="false">Tasks[[#This Row],[_Res3Work]]*Tasks[[#This Row],[_LeafProgress]]</f>
        <v>0</v>
      </c>
      <c r="EA65" s="42" t="str">
        <f aca="false">IF(Tasks[[#This Row],[_Res4Text]]="","",IF(Tasks[[#This Row],[_Res4Row]]&gt;0,INDEX(res_Name,Tasks[[#This Row],[_Res4Row]]),TRIM(LEFT(Tasks[[#This Row],[_Res4Text]],FIND("[",Tasks[[#This Row],[_Res4Text]]&amp;"[")-1))))</f>
        <v/>
      </c>
      <c r="EB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5" s="42" t="n">
        <f aca="false">IF(OR(NOT(Tasks[[#This Row],[_IsLeaf]]=1),Tasks[[#This Row],[_Res4Row]]=0),0,N(Tasks[[#This Row],[_Days]])*HoursPerDay*IF(Tasks[[#This Row],[_Res4Units]]="",DefaultUnits,Tasks[[#This Row],[_Res4Units]]))</f>
        <v>0</v>
      </c>
      <c r="ED65" s="42" t="n">
        <f aca="false">IF(AND(AND(Tasks[[#This Row],[_IsLeaf]]=1,Tasks[[#This Row],[_LeafTotalWork]]&gt;0),Tasks[[#This Row],[_Res4Work]]&gt;0),Tasks[[#This Row],[_Res4Work]]/(Tasks[[#This Row],[_FinishWorkday]]-Tasks[[#This Row],[_StartWorkday]]+1),0)</f>
        <v>0</v>
      </c>
      <c r="EE65" s="42" t="n">
        <f aca="false">Tasks[[#This Row],[_Res4WorkPerWD]]*MAX(0,Tasks[[#This Row],[_StartWorkday]]-1)</f>
        <v>0</v>
      </c>
      <c r="EF65" s="42" t="n">
        <f aca="false">Tasks[[#This Row],[_Res4Work]]*Tasks[[#This Row],[_LeafProgress]]</f>
        <v>0</v>
      </c>
      <c r="EG65" s="42" t="n">
        <f aca="false">IF(ISNUMBER(Tasks[[#This Row],[% Complete]]),Tasks[[#This Row],[% Complete]],IF(Tasks[[#This Row],[Stage]]="",0,IFERROR(INDEX(stg_Pct,MATCH(Tasks[[#This Row],[Stage]],stg_Name,0)),0)))</f>
        <v>0</v>
      </c>
      <c r="EH65" s="42" t="n">
        <f aca="false">IF(NOT(Tasks[[#This Row],[_IsLeaf]]=1),0,IF(N(Tasks[[#This Row],[Actual Finish]])&gt;0,1,MIN(1,Tasks[[#This Row],[_Pct]])))</f>
        <v>0</v>
      </c>
      <c r="EI65" s="42" t="n">
        <f aca="false">IF(OR(NOT(Tasks[[#This Row],[_IsLeaf]]=1),Tasks[[#This Row],[_Res1Row]]=0),0,N(Tasks[[#This Row],[_Days]])*HoursPerDay*IF(Tasks[[#This Row],[_Units1]]="",DefaultUnits,Tasks[[#This Row],[_Units1]]))</f>
        <v>0</v>
      </c>
      <c r="EJ65" s="42" t="n">
        <f aca="false">Tasks[[#This Row],[_LeafWork]]+Tasks[[#This Row],[_Res2Work]]+Tasks[[#This Row],[_Res3Work]]+Tasks[[#This Row],[_Res4Work]]</f>
        <v>0</v>
      </c>
      <c r="EK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5" s="42" t="n">
        <f aca="false">IF(NOT(Tasks[[#This Row],[_IsLeaf]]=1),0,MAX(_xlfn.MAXIFS(Tasks[_Row],Tasks[_Pred1UID],Tasks[[#This Row],[UID]]),_xlfn.MAXIFS(Tasks[_Row],Tasks[_Pred2UID],Tasks[[#This Row],[UID]]),_xlfn.MAXIFS(Tasks[_Row],Tasks[_Pred3UID],Tasks[[#This Row],[UID]]),_xlfn.MAXIFS(Tasks[_Row],Tasks[_Pred4UID],Tasks[[#This Row],[UID]])))</f>
        <v>0</v>
      </c>
      <c r="ET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5" s="89" t="str">
        <f aca="false">IF(NOT(Tasks[[#This Row],[_IsLeaf]]=1),"",IF(N(Tasks[[#This Row],[_Days]])&lt;=0,Tasks[[#This Row],[_LeafLateFinish]],WORKDAY.INTL(Tasks[[#This Row],[_LeafLateFinish]],-(Tasks[[#This Row],[_Days]]-1),WorkWeek,Holidays)))</f>
        <v/>
      </c>
      <c r="EW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5" s="88" t="b">
        <f aca="false">AND(Tasks[[#This Row],[_IsLeaf]]=1,Tasks[[#This Row],[_LeafProgress]]&lt;1,N(Tasks[[#This Row],[_LeafTotalSlack]])&lt;=CriticalSlackDays)</f>
        <v>0</v>
      </c>
      <c r="EY65" s="42" t="n">
        <f aca="false">IF(AND(Tasks[[#This Row],[_IsLeaf]]=1,Tasks[[#This Row],[_ConstraintCode]]=1,Tasks[[#This Row],[Mode]]&lt;&gt;"Manual",N(Tasks[[#This Row],[Actual Start]])=0),MAX(0,N(Tasks[[#This Row],[Free Slack]])),0)</f>
        <v>0</v>
      </c>
      <c r="EZ65" s="89" t="str">
        <f aca="false">IF(NOT(Tasks[[#This Row],[_IsLeaf]]=1),"",IF(Tasks[[#This Row],[_AlapShift]]=0,Tasks[[#This Row],[_LeafCalcStart]],WORKDAY.INTL(Tasks[[#This Row],[_LeafCalcStart]],Tasks[[#This Row],[_AlapShift]],WorkWeek,Holidays)))</f>
        <v/>
      </c>
      <c r="FA65" s="89" t="str">
        <f aca="false">IF(NOT(Tasks[[#This Row],[_IsLeaf]]=1),"",IF(Tasks[[#This Row],[_AlapShift]]=0,Tasks[[#This Row],[_LeafCalcFinish]],WORKDAY.INTL(Tasks[[#This Row],[_LeafCalcFinish]],Tasks[[#This Row],[_AlapShift]],WorkWeek,Holidays)))</f>
        <v/>
      </c>
      <c r="FB65" s="89" t="str">
        <f aca="false">IF(NOT(Tasks[[#This Row],[_IsLeaf]]=1),"",IF(Tasks[[#This Row],[_AlapShift]]=0,Tasks[[#This Row],[_LeafFcstStart]],WORKDAY.INTL(Tasks[[#This Row],[_LeafFcstStart]],Tasks[[#This Row],[_AlapShift]],WorkWeek,Holidays)))</f>
        <v/>
      </c>
      <c r="FC65" s="89" t="str">
        <f aca="false">IF(NOT(Tasks[[#This Row],[_IsLeaf]]=1),"",IF(Tasks[[#This Row],[_AlapShift]]=0,Tasks[[#This Row],[_LeafFcstFinish]],WORKDAY.INTL(Tasks[[#This Row],[_LeafFcstFinish]],Tasks[[#This Row],[_AlapShift]],WorkWeek,Holidays)))</f>
        <v/>
      </c>
      <c r="FD65" s="89" t="str">
        <f aca="false">IF(Tasks[[#This Row],[Task Name]]="","",IF(Tasks[[#This Row],[_IsSummary]],MIN(INDEX(Tasks[_ShownCalcStart],Tasks[[#This Row],[_Row]]+1):INDEX(Tasks[_ShownCalcStart],Tasks[[#This Row],[_Row]]+Tasks[[#This Row],[_Descendants]])),Tasks[[#This Row],[_ShownCalcStart]]))</f>
        <v/>
      </c>
      <c r="FE65" s="89" t="str">
        <f aca="false">IF(Tasks[[#This Row],[Task Name]]="","",IF(Tasks[[#This Row],[_IsSummary]],MAX(INDEX(Tasks[_ShownCalcFinish],Tasks[[#This Row],[_Row]]+1):INDEX(Tasks[_ShownCalcFinish],Tasks[[#This Row],[_Row]]+Tasks[[#This Row],[_Descendants]])),Tasks[[#This Row],[_ShownCalcFinish]]))</f>
        <v/>
      </c>
      <c r="FF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5" s="42" t="n">
        <f aca="false">IF(AND(Tasks[[#This Row],[_IsLeaf]]=1,Tasks[[#This Row],[_LeafTotalWork]]&gt;0),NETWORKDAYS.INTL(ProjectStart,Tasks[[#This Row],[_ShownFcstStart]],WorkWeek,Holidays),0)</f>
        <v>0</v>
      </c>
      <c r="FS65" s="42" t="n">
        <f aca="false">IF(AND(Tasks[[#This Row],[_IsLeaf]]=1,Tasks[[#This Row],[_LeafTotalWork]]&gt;0),MAX(Tasks[[#This Row],[_StartWorkday]],NETWORKDAYS.INTL(ProjectStart,Tasks[[#This Row],[_ShownFcstFinish]],WorkWeek,Holidays)),0)</f>
        <v>0</v>
      </c>
      <c r="FT65" s="42" t="n">
        <f aca="false">IF(AND(Tasks[[#This Row],[_IsLeaf]]=1,Tasks[[#This Row],[_LeafTotalWork]]&gt;0),Tasks[[#This Row],[_LeafWork]]/(Tasks[[#This Row],[_FinishWorkday]]-Tasks[[#This Row],[_StartWorkday]]+1),0)</f>
        <v>0</v>
      </c>
      <c r="FU65" s="42" t="n">
        <f aca="false">Tasks[[#This Row],[_WorkPerWorkday]]*(Tasks[[#This Row],[_StartWorkday]]-1)</f>
        <v>-0</v>
      </c>
      <c r="FV65" s="42" t="n">
        <f aca="false">IF(Tasks[[#This Row],[_IsLeaf]]=1,MAX(N(Tasks[[#This Row],[_Days]]),0.1),0)</f>
        <v>0</v>
      </c>
      <c r="FW65" s="42" t="n">
        <f aca="false">Tasks[[#This Row],[_WeightDur]]*Tasks[[#This Row],[_LeafProgress]]</f>
        <v>0</v>
      </c>
      <c r="FX65" s="42" t="n">
        <f aca="false">Tasks[[#This Row],[_WeightDur]]*Tasks[[#This Row],[_PlannedPct]]</f>
        <v>0</v>
      </c>
      <c r="FY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5" s="42" t="str">
        <f aca="false">IF(AND(Tasks[[#This Row],[_IsLeaf]]=1,N(Tasks[[#This Row],[_Days]])=0,Tasks[[#This Row],[_LeafProgress]]&lt;1),Tasks[[#This Row],[_ShownFcstFinish]]+Tasks[[#This Row],[_Row]]/100000,"")</f>
        <v/>
      </c>
      <c r="GA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5" s="42" t="str">
        <f aca="false">IF(Tasks[[#This Row],[Task Name]]="","",LEFT(Tasks[[#This Row],[WBS]],FIND(".",Tasks[[#This Row],[WBS]]&amp;".")-1))</f>
        <v/>
      </c>
      <c r="GC65" s="42" t="str">
        <f aca="false">IF(AND(Tasks[[#This Row],[Task Name]]&lt;&gt;"",Tasks[[#This Row],[_Level]]=1),Tasks[[#This Row],[_Row]],"")</f>
        <v/>
      </c>
      <c r="GD65" s="42" t="str">
        <f aca="false">IF(AND(Tasks[[#This Row],[_IsLeaf]]=1,N(Tasks[[#This Row],[_Days]])=0),Tasks[[#This Row],[Planned Finish]]+Tasks[[#This Row],[_Row]]/100000,"")</f>
        <v/>
      </c>
      <c r="GE65" s="42" t="str">
        <f aca="false">IF(AND(Tasks[[#This Row],[_IsLeaf]]=1,Tasks[[#This Row],[_LeafProgress]]&lt;1,OR(N(Tasks[[#This Row],[Finish Var]])&gt;0,Tasks[[#This Row],[Status]]="Late Start")),MAX(0,Tasks[[#This Row],[Finish Var]])+1-Tasks[[#This Row],[_Row]]/1000000,"")</f>
        <v/>
      </c>
      <c r="GF65" s="42" t="str">
        <f aca="false">IF(AND(Tasks[[#This Row],[_IsLeaf]]=1,N(Tasks[[#This Row],[Actual Start]])=0,Tasks[[#This Row],[_ShownFcstStart]]&gt;=StatusDate,Tasks[[#This Row],[_ShownFcstStart]]&lt;=LookaheadEnd),Tasks[[#This Row],[_ShownFcstStart]]+Tasks[[#This Row],[_Row]]/100000,"")</f>
        <v/>
      </c>
      <c r="GG65" s="42" t="str">
        <f aca="false">IF(AND(Tasks[[#This Row],[_IsLeaf]]=1,Tasks[[#This Row],[_LeafProgress]]&lt;1,Tasks[[#This Row],[_ShownFcstFinish]]&gt;=StatusDate,Tasks[[#This Row],[_ShownFcstFinish]]&lt;=LookaheadEnd),Tasks[[#This Row],[_ShownFcstFinish]]+Tasks[[#This Row],[_Row]]/100000,"")</f>
        <v/>
      </c>
      <c r="GH65" s="42" t="str">
        <f aca="false">IF(Tasks[[#This Row],[_LeafCritical]],Tasks[[#This Row],[_ShownFcstStart]]+Tasks[[#This Row],[_Row]]/100000,"")</f>
        <v/>
      </c>
      <c r="GI65" s="42" t="n">
        <f aca="false">Tasks[[#This Row],[_LeafWork]]*Tasks[[#This Row],[_LeafProgress]]</f>
        <v>0</v>
      </c>
      <c r="GJ65" s="89" t="str">
        <f aca="false">IF(AND(Tasks[[#This Row],[_IsLeaf]]=1,Tasks[[#This Row],[_LeafProgress]]&gt;=1),IF(N(Tasks[[#This Row],[Actual Finish]])&gt;0,Tasks[[#This Row],[Actual Finish]],Tasks[[#This Row],[_ShownFcstFinish]]),"")</f>
        <v/>
      </c>
      <c r="GK65" s="42" t="n">
        <f aca="false">IF(Tasks[[#This Row],[_IsLeaf]]=1,N(Tasks[[#This Row],[Story Points]]),0)</f>
        <v>0</v>
      </c>
      <c r="GL65" s="42" t="str">
        <f aca="false">""</f>
        <v/>
      </c>
      <c r="GM65" s="88" t="b">
        <f aca="false">IF(Tasks[[#This Row],[Task Name]]="",FALSE(),AND(Tasks[[#This Row],[_IsLeaf]]=1,N(Tasks[[#This Row],[_Days]])=0))</f>
        <v>0</v>
      </c>
      <c r="GN65" s="89" t="n">
        <f aca="false">IF(Tasks[[#This Row],[Task Name]]="",0,IF(AND(Tasks[[#This Row],[_IsLeaf]]=1,NOT(Tasks[[#This Row],[_IsMilestone]]),N(Tasks[[#This Row],[Progress]])&gt;0),Tasks[[#This Row],[Start]],0))</f>
        <v>0</v>
      </c>
      <c r="GO65" s="89" t="n">
        <f aca="false">IF(Tasks[[#This Row],[_DoneFrom]]=0,0,IF(Tasks[[#This Row],[Progress]]&gt;=1,Tasks[[#This Row],[Finish]],MAX(Tasks[[#This Row],[_DoneFrom]],Tasks[[#This Row],[Start]]+ROUND((Tasks[[#This Row],[Finish]]-Tasks[[#This Row],[Start]]+1)*Tasks[[#This Row],[Progress]],0)-1)))</f>
        <v>0</v>
      </c>
      <c r="GP65" s="89" t="n">
        <f aca="false">IF(Tasks[[#This Row],[Task Name]]="",0,IF(OR(NOT(Tasks[[#This Row],[_IsLeaf]]=1),Tasks[[#This Row],[_IsMilestone]],N(Tasks[[#This Row],[Progress]])&gt;=1),0,IF(Tasks[[#This Row],[_DoneTo]]&gt;0,Tasks[[#This Row],[_DoneTo]]+1,Tasks[[#This Row],[Start]])))</f>
        <v>0</v>
      </c>
      <c r="GQ65" s="89" t="n">
        <f aca="false">IF(Tasks[[#This Row],[_RemFrom]]=0,0,Tasks[[#This Row],[Finish]])</f>
        <v>0</v>
      </c>
      <c r="GR65" s="88" t="b">
        <f aca="false">IF(Tasks[[#This Row],[Task Name]]="",FALSE(),OR(NOT(BaselineSet),N(Tasks[[#This Row],[Baseline Start]])&gt;0))</f>
        <v>0</v>
      </c>
      <c r="GS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5" s="90" t="str">
        <f aca="false">IF(Tasks[[#This Row],[_IsLeaf]]=1,Tasks[[#This Row],[_Row]],"")</f>
        <v/>
      </c>
      <c r="GW65" s="90" t="str">
        <f aca="false">IFERROR(INDEX(Tasks[UID],SMALL(Tasks[_PickKey],Tasks[[#This Row],[_Row]]))&amp;" "&amp;INDEX(Tasks[Task Name],SMALL(Tasks[_PickKey],Tasks[[#This Row],[_Row]])),"")</f>
        <v/>
      </c>
      <c r="GX65" s="42" t="str">
        <f aca="false">IF(Tasks[[#This Row],[Task Name]]="","",IF(Tasks[[#This Row],[_IsSummary]],NETWORKDAYS.INTL(Tasks[[#This Row],[Start]],Tasks[[#This Row],[Finish]],WorkWeek,Holidays),N(Tasks[[#This Row],[_Days]])))</f>
        <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3"/>
      <c r="U66" s="23"/>
      <c r="V66" s="83"/>
      <c r="W66" s="23"/>
      <c r="X66" s="83"/>
      <c r="Y66" s="23"/>
      <c r="Z66" s="83"/>
      <c r="AA66" s="23"/>
      <c r="AB66" s="23"/>
      <c r="AC66" s="7"/>
      <c r="AD66" s="7"/>
      <c r="AE66" s="62" t="str">
        <f aca="false">IF(Tasks[[#This Row],[Task Name]]="","",IF(Tasks[[#This Row],[_IsSummary]],MIN(INDEX(Tasks[_ShownFcstStart],Tasks[[#This Row],[_Row]]+1):INDEX(Tasks[_ShownFcstStart],Tasks[[#This Row],[_Row]]+Tasks[[#This Row],[_Descendants]])),Tasks[[#This Row],[_ShownFcstStart]]))</f>
        <v/>
      </c>
      <c r="AF66" s="62"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6" s="7"/>
      <c r="AK66" s="22"/>
      <c r="AL66" s="23"/>
      <c r="AM66" s="7"/>
      <c r="AN66" s="46"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2" t="str">
        <f aca="false">IF(Tasks[[#This Row],[Task Name]]="","",IF(N(Tasks[[#This Row],[Baseline Start]])&gt;0,Tasks[[#This Row],[Baseline Start]],Tasks[[#This Row],[_CalcStart]]))</f>
        <v/>
      </c>
      <c r="AR66" s="62" t="str">
        <f aca="false">IF(Tasks[[#This Row],[Task Name]]="","",IF(N(Tasks[[#This Row],[Baseline Finish]])&gt;0,Tasks[[#This Row],[Baseline Finish]],Tasks[[#This Row],[_CalcFinish]]))</f>
        <v/>
      </c>
      <c r="AS66" s="46" t="str">
        <f aca="false">IF(Tasks[[#This Row],[Task Name]]="","",IF(Tasks[[#This Row],[Start]]&gt;=Tasks[[#This Row],[Planned Start]],NETWORKDAYS.INTL(Tasks[[#This Row],[Planned Start]],Tasks[[#This Row],[Start]],WorkWeek,Holidays)-1,1-NETWORKDAYS.INTL(Tasks[[#This Row],[Start]],Tasks[[#This Row],[Planned Start]],WorkWeek,Holidays)))</f>
        <v/>
      </c>
      <c r="AT66" s="62" t="str">
        <f aca="false">IF(Tasks[[#This Row],[Task Name]]="","",IF(Tasks[[#This Row],[_IsSummary]],MIN(INDEX(Tasks[_LeafLateStart],Tasks[[#This Row],[_Row]]+1):INDEX(Tasks[_LeafLateStart],Tasks[[#This Row],[_Row]]+Tasks[[#This Row],[_Descendants]])),Tasks[[#This Row],[_LeafLateStart]]))</f>
        <v/>
      </c>
      <c r="AU66" s="62" t="str">
        <f aca="false">IF(Tasks[[#This Row],[Task Name]]="","",IF(Tasks[[#This Row],[_IsSummary]],MAX(INDEX(Tasks[_LeafLateFinish],Tasks[[#This Row],[_Row]]+1):INDEX(Tasks[_LeafLateFinish],Tasks[[#This Row],[_Row]]+Tasks[[#This Row],[_Descendants]])),Tasks[[#This Row],[_LeafLateFinish]]))</f>
        <v/>
      </c>
      <c r="AV66" s="46"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4"/>
      <c r="BA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5"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6"/>
      <c r="BJ66" s="22"/>
      <c r="BK66" s="46" t="str">
        <f aca="false">IF(OR(Tasks[[#This Row],[Task Name]]="",Tasks[[#This Row],[Baseline Duration]]=""),"",Tasks[[#This Row],[_SpanDays]]-N(Tasks[[#This Row],[Baseline Duration]]))</f>
        <v/>
      </c>
      <c r="BL66" s="85" t="str">
        <f aca="false">IF(OR(Tasks[[#This Row],[Task Name]]="",Tasks[[#This Row],[Baseline Work]]=""),"",Tasks[[#This Row],[Work]]-N(Tasks[[#This Row],[Baseline Work]]))</f>
        <v/>
      </c>
      <c r="BM66" s="62" t="str">
        <f aca="false">IF(Tasks[[#This Row],[Task Name]]="","",IF(OR(TakeBaseline="Yes",N(Tasks[[#This Row],[Baseline Start]])=0),Tasks[[#This Row],[Start]],Tasks[[#This Row],[Baseline Start]]))</f>
        <v/>
      </c>
      <c r="BN66" s="62"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5" t="str">
        <f aca="false">IF(Tasks[[#This Row],[Task Name]]="","",IF(OR(TakeBaseline="Yes",N(Tasks[[#This Row],[Baseline Work]])=0),Tasks[[#This Row],[Work]],Tasks[[#This Row],[Baseline Work]]))</f>
        <v/>
      </c>
      <c r="BQ66" s="7"/>
      <c r="BR66" s="7"/>
      <c r="BS66" s="22"/>
      <c r="BT66" s="87"/>
      <c r="BU66" s="42" t="str">
        <f aca="false">IF(Tasks[[#This Row],[Task Name]]="","",MAX(1,N(Tasks[[#This Row],[Level]])))</f>
        <v/>
      </c>
      <c r="BV66" s="42" t="n">
        <f aca="false">ROW()-ROW(Tasks[[#Headers],[ID]])</f>
        <v>61</v>
      </c>
      <c r="BW66" s="42" t="n">
        <f aca="false">IF(OR(Tasks[[#This Row],[Task Name]]="",Tasks[[#This Row],[_Level]]&lt;=1),0,IFERROR(LOOKUP(2,1/(Tasks[[#Headers],[_Level]]:Tasks[[#This Row],[_Level]]=Tasks[[#This Row],[_Level]]-1),ROW(Tasks[[#Headers],[_Level]]:Tasks[[#This Row],[_Level]])),0))</f>
        <v>0</v>
      </c>
      <c r="BX66" s="42" t="n">
        <f aca="false">IFERROR(N(INDEX(Tasks[_Level],Tasks[[#This Row],[_Row]]+1)),0)</f>
        <v>0</v>
      </c>
      <c r="BY66" s="88" t="b">
        <f aca="false">AND(Tasks[[#This Row],[Task Name]]&lt;&gt;"",Tasks[[#This Row],[_NextLevel]]&gt;Tasks[[#This Row],[_Level]])</f>
        <v>0</v>
      </c>
      <c r="BZ66" s="42" t="n">
        <f aca="false">IF(Tasks[[#This Row],[_IsSummary]],COUNTIF(Tasks[WBS],Tasks[[#This Row],[WBS]]&amp;".*"),0)</f>
        <v>0</v>
      </c>
      <c r="CA66" s="42" t="n">
        <f aca="false">IF(AND(Tasks[[#This Row],[Task Name]]&lt;&gt;"",NOT(Tasks[[#This Row],[_IsSummary]])),1,0)</f>
        <v>0</v>
      </c>
      <c r="CB66" s="42" t="n">
        <f aca="false">IF(N(Tasks[[#This Row],[_Pred1UID]])=0,0,IFERROR(MATCH(Tasks[[#This Row],[_Pred1UID]],Tasks[UID],0),-1))</f>
        <v>0</v>
      </c>
      <c r="CC66" s="42" t="n">
        <f aca="false">IF(N(Tasks[[#This Row],[_Pred2UID]])=0,0,IFERROR(MATCH(Tasks[[#This Row],[_Pred2UID]],Tasks[UID],0),-1))</f>
        <v>0</v>
      </c>
      <c r="CD66" s="42" t="n">
        <f aca="false">IF(N(Tasks[[#This Row],[_Pred3UID]])=0,0,IFERROR(MATCH(Tasks[[#This Row],[_Pred3UID]],Tasks[UID],0),-1))</f>
        <v>0</v>
      </c>
      <c r="CE66" s="42" t="n">
        <f aca="false">IF(N(Tasks[[#This Row],[_Pred4UID]])=0,0,IFERROR(MATCH(Tasks[[#This Row],[_Pred4UID]],Tasks[UID],0),-1))</f>
        <v>0</v>
      </c>
      <c r="CF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6" s="89" t="n">
        <f aca="false">IF(OR(Tasks[[#This Row],[_ConstraintCode]]=2,Tasks[[#This Row],[_ConstraintCode]]=3,Tasks[[#This Row],[_ConstraintCode]]=4,Tasks[[#This Row],[_ConstraintCode]]=6),Tasks[[#This Row],[_ConstraintStart]],0)</f>
        <v>0</v>
      </c>
      <c r="CI66" s="89" t="n">
        <f aca="false">IF(OR(Tasks[[#This Row],[_ConstraintCode]]=2,Tasks[[#This Row],[_ConstraintCode]]=3,Tasks[[#This Row],[_ConstraintCode]]=5,Tasks[[#This Row],[_ConstraintCode]]=7),Tasks[[#This Row],[_ConstraintStart]],2958465)</f>
        <v>2958465</v>
      </c>
      <c r="CJ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6" s="89" t="str">
        <f aca="false">IF(NOT(Tasks[[#This Row],[_IsLeaf]]=1),"",IF(N(Tasks[[#This Row],[_Days]])&lt;=0,Tasks[[#This Row],[_LeafCalcStart]],WORKDAY.INTL(Tasks[[#This Row],[_LeafCalcStart]],Tasks[[#This Row],[_Days]]-1,WorkWeek,Holidays)))</f>
        <v/>
      </c>
      <c r="CL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6" s="42" t="str">
        <f aca="false">IF(Tasks[[#This Row],[_Predecessors]]="","",TRIM(MID(SUBSTITUTE(SUBSTITUTE(SUBSTITUTE(UPPER(Tasks[[#This Row],[_Predecessors]]),";",",")," ",""),",",REPT(" ",99)),1,99)))</f>
        <v/>
      </c>
      <c r="CO66" s="42" t="str">
        <f aca="false">IF(Tasks[[#This Row],[_Pred1Text]]="","",IFERROR(VALUE(LEFT(Tasks[[#This Row],[_Pred1Text]],MIN(FIND("F",Tasks[[#This Row],[_Pred1Text]]&amp;"F"),FIND("S",Tasks[[#This Row],[_Pred1Text]]&amp;"S"),FIND("+",Tasks[[#This Row],[_Pred1Text]]&amp;"+"),FIND("-",Tasks[[#This Row],[_Pred1Text]]&amp;"-"))-1)),""))</f>
        <v/>
      </c>
      <c r="CP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6" s="42" t="str">
        <f aca="false">IF(Tasks[[#This Row],[_Pred1Text]]="","",TRIM(MID(SUBSTITUTE(SUBSTITUTE(SUBSTITUTE(UPPER(Tasks[[#This Row],[_Predecessors]]),";",",")," ",""),",",REPT(" ",99)),100,99)))</f>
        <v/>
      </c>
      <c r="CS66" s="42" t="str">
        <f aca="false">IF(Tasks[[#This Row],[_Pred2Text]]="","",IFERROR(VALUE(LEFT(Tasks[[#This Row],[_Pred2Text]],MIN(FIND("F",Tasks[[#This Row],[_Pred2Text]]&amp;"F"),FIND("S",Tasks[[#This Row],[_Pred2Text]]&amp;"S"),FIND("+",Tasks[[#This Row],[_Pred2Text]]&amp;"+"),FIND("-",Tasks[[#This Row],[_Pred2Text]]&amp;"-"))-1)),""))</f>
        <v/>
      </c>
      <c r="CT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6" s="42" t="str">
        <f aca="false">IF(Tasks[[#This Row],[_Pred2Text]]="","",TRIM(MID(SUBSTITUTE(SUBSTITUTE(SUBSTITUTE(UPPER(Tasks[[#This Row],[_Predecessors]]),";",",")," ",""),",",REPT(" ",99)),199,99)))</f>
        <v/>
      </c>
      <c r="CW66" s="42" t="str">
        <f aca="false">IF(Tasks[[#This Row],[_Pred3Text]]="","",IFERROR(VALUE(LEFT(Tasks[[#This Row],[_Pred3Text]],MIN(FIND("F",Tasks[[#This Row],[_Pred3Text]]&amp;"F"),FIND("S",Tasks[[#This Row],[_Pred3Text]]&amp;"S"),FIND("+",Tasks[[#This Row],[_Pred3Text]]&amp;"+"),FIND("-",Tasks[[#This Row],[_Pred3Text]]&amp;"-"))-1)),""))</f>
        <v/>
      </c>
      <c r="CX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6" s="42" t="str">
        <f aca="false">IF(Tasks[[#This Row],[_Pred3Text]]="","",TRIM(MID(SUBSTITUTE(SUBSTITUTE(SUBSTITUTE(UPPER(Tasks[[#This Row],[_Predecessors]]),";",",")," ",""),",",REPT(" ",99)),298,99)))</f>
        <v/>
      </c>
      <c r="DA66" s="42" t="str">
        <f aca="false">IF(Tasks[[#This Row],[_Pred4Text]]="","",IFERROR(VALUE(LEFT(Tasks[[#This Row],[_Pred4Text]],MIN(FIND("F",Tasks[[#This Row],[_Pred4Text]]&amp;"F"),FIND("S",Tasks[[#This Row],[_Pred4Text]]&amp;"S"),FIND("+",Tasks[[#This Row],[_Pred4Text]]&amp;"+"),FIND("-",Tasks[[#This Row],[_Pred4Text]]&amp;"-"))-1)),""))</f>
        <v/>
      </c>
      <c r="DB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6" s="42" t="str">
        <f aca="false">IF(OR(Tasks[[#This Row],[Task Name]]="",Tasks[[#This Row],[_Resources]]=""),"",TRIM(MID(SUBSTITUTE(Tasks[[#This Row],[_Resources]],",",REPT(" ",99)),1,99)))</f>
        <v/>
      </c>
      <c r="DE66" s="42" t="str">
        <f aca="false">IF(Tasks[[#This Row],[_Res1Text]]="","",TRIM(MID(SUBSTITUTE(Tasks[[#This Row],[_Resources]],",",REPT(" ",99)),100,99)))</f>
        <v/>
      </c>
      <c r="DF66" s="42" t="str">
        <f aca="false">IF(Tasks[[#This Row],[_Res2Text]]="","",TRIM(MID(SUBSTITUTE(Tasks[[#This Row],[_Resources]],",",REPT(" ",99)),199,99)))</f>
        <v/>
      </c>
      <c r="DG66" s="42" t="str">
        <f aca="false">IF(Tasks[[#This Row],[_Res3Text]]="","",TRIM(MID(SUBSTITUTE(Tasks[[#This Row],[_Resources]],",",REPT(" ",99)),298,99)))</f>
        <v/>
      </c>
      <c r="DH66" s="42" t="n">
        <f aca="false">IF(Tasks[[#This Row],[_Res1Text]]="",0,IFERROR(MATCH(TRIM(LEFT(Tasks[[#This Row],[_Res1Text]],FIND("[",Tasks[[#This Row],[_Res1Text]]&amp;"[")-1)),res_Name,0),IFERROR(MATCH(TRIM(LEFT(Tasks[[#This Row],[_Res1Text]],FIND("[",Tasks[[#This Row],[_Res1Text]]&amp;"[")-1)),res_Initials,0),0)))</f>
        <v>0</v>
      </c>
      <c r="DI66" s="42" t="n">
        <f aca="false">IF(Tasks[[#This Row],[_Res2Text]]="",0,IFERROR(MATCH(TRIM(LEFT(Tasks[[#This Row],[_Res2Text]],FIND("[",Tasks[[#This Row],[_Res2Text]]&amp;"[")-1)),res_Name,0),IFERROR(MATCH(TRIM(LEFT(Tasks[[#This Row],[_Res2Text]],FIND("[",Tasks[[#This Row],[_Res2Text]]&amp;"[")-1)),res_Initials,0),0)))</f>
        <v>0</v>
      </c>
      <c r="DJ66" s="42" t="n">
        <f aca="false">IF(Tasks[[#This Row],[_Res3Text]]="",0,IFERROR(MATCH(TRIM(LEFT(Tasks[[#This Row],[_Res3Text]],FIND("[",Tasks[[#This Row],[_Res3Text]]&amp;"[")-1)),res_Name,0),IFERROR(MATCH(TRIM(LEFT(Tasks[[#This Row],[_Res3Text]],FIND("[",Tasks[[#This Row],[_Res3Text]]&amp;"[")-1)),res_Initials,0),0)))</f>
        <v>0</v>
      </c>
      <c r="DK66" s="42" t="n">
        <f aca="false">IF(Tasks[[#This Row],[_Res4Text]]="",0,IFERROR(MATCH(TRIM(LEFT(Tasks[[#This Row],[_Res4Text]],FIND("[",Tasks[[#This Row],[_Res4Text]]&amp;"[")-1)),res_Name,0),IFERROR(MATCH(TRIM(LEFT(Tasks[[#This Row],[_Res4Text]],FIND("[",Tasks[[#This Row],[_Res4Text]]&amp;"[")-1)),res_Initials,0),0)))</f>
        <v>0</v>
      </c>
      <c r="DL66" s="42" t="str">
        <f aca="false">IF(Tasks[[#This Row],[_Res1Text]]="","",IF(Tasks[[#This Row],[_Res1Row]]&gt;0,INDEX(res_Name,Tasks[[#This Row],[_Res1Row]]),TRIM(LEFT(Tasks[[#This Row],[_Res1Text]],FIND("[",Tasks[[#This Row],[_Res1Text]]&amp;"[")-1))))</f>
        <v/>
      </c>
      <c r="DM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6" s="42" t="n">
        <f aca="false">IF(NOT(Tasks[[#This Row],[_IsLeaf]]=1),0,(Tasks[[#This Row],[_Resource1]]&lt;&gt;"")+(Tasks[[#This Row],[_Res2]]&lt;&gt;"")+(Tasks[[#This Row],[_Res3]]&lt;&gt;"")+(Tasks[[#This Row],[_Res4]]&lt;&gt;""))</f>
        <v>0</v>
      </c>
      <c r="DO66" s="42" t="str">
        <f aca="false">IF(Tasks[[#This Row],[_Res2Text]]="","",IF(Tasks[[#This Row],[_Res2Row]]&gt;0,INDEX(res_Name,Tasks[[#This Row],[_Res2Row]]),TRIM(LEFT(Tasks[[#This Row],[_Res2Text]],FIND("[",Tasks[[#This Row],[_Res2Text]]&amp;"[")-1))))</f>
        <v/>
      </c>
      <c r="DP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6" s="42" t="n">
        <f aca="false">IF(OR(NOT(Tasks[[#This Row],[_IsLeaf]]=1),Tasks[[#This Row],[_Res2Row]]=0),0,N(Tasks[[#This Row],[_Days]])*HoursPerDay*IF(Tasks[[#This Row],[_Res2Units]]="",DefaultUnits,Tasks[[#This Row],[_Res2Units]]))</f>
        <v>0</v>
      </c>
      <c r="DR66" s="42" t="n">
        <f aca="false">IF(AND(AND(Tasks[[#This Row],[_IsLeaf]]=1,Tasks[[#This Row],[_LeafTotalWork]]&gt;0),Tasks[[#This Row],[_Res2Work]]&gt;0),Tasks[[#This Row],[_Res2Work]]/(Tasks[[#This Row],[_FinishWorkday]]-Tasks[[#This Row],[_StartWorkday]]+1),0)</f>
        <v>0</v>
      </c>
      <c r="DS66" s="42" t="n">
        <f aca="false">Tasks[[#This Row],[_Res2WorkPerWD]]*MAX(0,Tasks[[#This Row],[_StartWorkday]]-1)</f>
        <v>0</v>
      </c>
      <c r="DT66" s="42" t="n">
        <f aca="false">Tasks[[#This Row],[_Res2Work]]*Tasks[[#This Row],[_LeafProgress]]</f>
        <v>0</v>
      </c>
      <c r="DU66" s="42" t="str">
        <f aca="false">IF(Tasks[[#This Row],[_Res3Text]]="","",IF(Tasks[[#This Row],[_Res3Row]]&gt;0,INDEX(res_Name,Tasks[[#This Row],[_Res3Row]]),TRIM(LEFT(Tasks[[#This Row],[_Res3Text]],FIND("[",Tasks[[#This Row],[_Res3Text]]&amp;"[")-1))))</f>
        <v/>
      </c>
      <c r="DV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6" s="42" t="n">
        <f aca="false">IF(OR(NOT(Tasks[[#This Row],[_IsLeaf]]=1),Tasks[[#This Row],[_Res3Row]]=0),0,N(Tasks[[#This Row],[_Days]])*HoursPerDay*IF(Tasks[[#This Row],[_Res3Units]]="",DefaultUnits,Tasks[[#This Row],[_Res3Units]]))</f>
        <v>0</v>
      </c>
      <c r="DX66" s="42" t="n">
        <f aca="false">IF(AND(AND(Tasks[[#This Row],[_IsLeaf]]=1,Tasks[[#This Row],[_LeafTotalWork]]&gt;0),Tasks[[#This Row],[_Res3Work]]&gt;0),Tasks[[#This Row],[_Res3Work]]/(Tasks[[#This Row],[_FinishWorkday]]-Tasks[[#This Row],[_StartWorkday]]+1),0)</f>
        <v>0</v>
      </c>
      <c r="DY66" s="42" t="n">
        <f aca="false">Tasks[[#This Row],[_Res3WorkPerWD]]*MAX(0,Tasks[[#This Row],[_StartWorkday]]-1)</f>
        <v>0</v>
      </c>
      <c r="DZ66" s="42" t="n">
        <f aca="false">Tasks[[#This Row],[_Res3Work]]*Tasks[[#This Row],[_LeafProgress]]</f>
        <v>0</v>
      </c>
      <c r="EA66" s="42" t="str">
        <f aca="false">IF(Tasks[[#This Row],[_Res4Text]]="","",IF(Tasks[[#This Row],[_Res4Row]]&gt;0,INDEX(res_Name,Tasks[[#This Row],[_Res4Row]]),TRIM(LEFT(Tasks[[#This Row],[_Res4Text]],FIND("[",Tasks[[#This Row],[_Res4Text]]&amp;"[")-1))))</f>
        <v/>
      </c>
      <c r="EB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6" s="42" t="n">
        <f aca="false">IF(OR(NOT(Tasks[[#This Row],[_IsLeaf]]=1),Tasks[[#This Row],[_Res4Row]]=0),0,N(Tasks[[#This Row],[_Days]])*HoursPerDay*IF(Tasks[[#This Row],[_Res4Units]]="",DefaultUnits,Tasks[[#This Row],[_Res4Units]]))</f>
        <v>0</v>
      </c>
      <c r="ED66" s="42" t="n">
        <f aca="false">IF(AND(AND(Tasks[[#This Row],[_IsLeaf]]=1,Tasks[[#This Row],[_LeafTotalWork]]&gt;0),Tasks[[#This Row],[_Res4Work]]&gt;0),Tasks[[#This Row],[_Res4Work]]/(Tasks[[#This Row],[_FinishWorkday]]-Tasks[[#This Row],[_StartWorkday]]+1),0)</f>
        <v>0</v>
      </c>
      <c r="EE66" s="42" t="n">
        <f aca="false">Tasks[[#This Row],[_Res4WorkPerWD]]*MAX(0,Tasks[[#This Row],[_StartWorkday]]-1)</f>
        <v>0</v>
      </c>
      <c r="EF66" s="42" t="n">
        <f aca="false">Tasks[[#This Row],[_Res4Work]]*Tasks[[#This Row],[_LeafProgress]]</f>
        <v>0</v>
      </c>
      <c r="EG66" s="42" t="n">
        <f aca="false">IF(ISNUMBER(Tasks[[#This Row],[% Complete]]),Tasks[[#This Row],[% Complete]],IF(Tasks[[#This Row],[Stage]]="",0,IFERROR(INDEX(stg_Pct,MATCH(Tasks[[#This Row],[Stage]],stg_Name,0)),0)))</f>
        <v>0</v>
      </c>
      <c r="EH66" s="42" t="n">
        <f aca="false">IF(NOT(Tasks[[#This Row],[_IsLeaf]]=1),0,IF(N(Tasks[[#This Row],[Actual Finish]])&gt;0,1,MIN(1,Tasks[[#This Row],[_Pct]])))</f>
        <v>0</v>
      </c>
      <c r="EI66" s="42" t="n">
        <f aca="false">IF(OR(NOT(Tasks[[#This Row],[_IsLeaf]]=1),Tasks[[#This Row],[_Res1Row]]=0),0,N(Tasks[[#This Row],[_Days]])*HoursPerDay*IF(Tasks[[#This Row],[_Units1]]="",DefaultUnits,Tasks[[#This Row],[_Units1]]))</f>
        <v>0</v>
      </c>
      <c r="EJ66" s="42" t="n">
        <f aca="false">Tasks[[#This Row],[_LeafWork]]+Tasks[[#This Row],[_Res2Work]]+Tasks[[#This Row],[_Res3Work]]+Tasks[[#This Row],[_Res4Work]]</f>
        <v>0</v>
      </c>
      <c r="EK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6" s="42" t="n">
        <f aca="false">IF(NOT(Tasks[[#This Row],[_IsLeaf]]=1),0,MAX(_xlfn.MAXIFS(Tasks[_Row],Tasks[_Pred1UID],Tasks[[#This Row],[UID]]),_xlfn.MAXIFS(Tasks[_Row],Tasks[_Pred2UID],Tasks[[#This Row],[UID]]),_xlfn.MAXIFS(Tasks[_Row],Tasks[_Pred3UID],Tasks[[#This Row],[UID]]),_xlfn.MAXIFS(Tasks[_Row],Tasks[_Pred4UID],Tasks[[#This Row],[UID]])))</f>
        <v>0</v>
      </c>
      <c r="ET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6" s="89" t="str">
        <f aca="false">IF(NOT(Tasks[[#This Row],[_IsLeaf]]=1),"",IF(N(Tasks[[#This Row],[_Days]])&lt;=0,Tasks[[#This Row],[_LeafLateFinish]],WORKDAY.INTL(Tasks[[#This Row],[_LeafLateFinish]],-(Tasks[[#This Row],[_Days]]-1),WorkWeek,Holidays)))</f>
        <v/>
      </c>
      <c r="EW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6" s="88" t="b">
        <f aca="false">AND(Tasks[[#This Row],[_IsLeaf]]=1,Tasks[[#This Row],[_LeafProgress]]&lt;1,N(Tasks[[#This Row],[_LeafTotalSlack]])&lt;=CriticalSlackDays)</f>
        <v>0</v>
      </c>
      <c r="EY66" s="42" t="n">
        <f aca="false">IF(AND(Tasks[[#This Row],[_IsLeaf]]=1,Tasks[[#This Row],[_ConstraintCode]]=1,Tasks[[#This Row],[Mode]]&lt;&gt;"Manual",N(Tasks[[#This Row],[Actual Start]])=0),MAX(0,N(Tasks[[#This Row],[Free Slack]])),0)</f>
        <v>0</v>
      </c>
      <c r="EZ66" s="89" t="str">
        <f aca="false">IF(NOT(Tasks[[#This Row],[_IsLeaf]]=1),"",IF(Tasks[[#This Row],[_AlapShift]]=0,Tasks[[#This Row],[_LeafCalcStart]],WORKDAY.INTL(Tasks[[#This Row],[_LeafCalcStart]],Tasks[[#This Row],[_AlapShift]],WorkWeek,Holidays)))</f>
        <v/>
      </c>
      <c r="FA66" s="89" t="str">
        <f aca="false">IF(NOT(Tasks[[#This Row],[_IsLeaf]]=1),"",IF(Tasks[[#This Row],[_AlapShift]]=0,Tasks[[#This Row],[_LeafCalcFinish]],WORKDAY.INTL(Tasks[[#This Row],[_LeafCalcFinish]],Tasks[[#This Row],[_AlapShift]],WorkWeek,Holidays)))</f>
        <v/>
      </c>
      <c r="FB66" s="89" t="str">
        <f aca="false">IF(NOT(Tasks[[#This Row],[_IsLeaf]]=1),"",IF(Tasks[[#This Row],[_AlapShift]]=0,Tasks[[#This Row],[_LeafFcstStart]],WORKDAY.INTL(Tasks[[#This Row],[_LeafFcstStart]],Tasks[[#This Row],[_AlapShift]],WorkWeek,Holidays)))</f>
        <v/>
      </c>
      <c r="FC66" s="89" t="str">
        <f aca="false">IF(NOT(Tasks[[#This Row],[_IsLeaf]]=1),"",IF(Tasks[[#This Row],[_AlapShift]]=0,Tasks[[#This Row],[_LeafFcstFinish]],WORKDAY.INTL(Tasks[[#This Row],[_LeafFcstFinish]],Tasks[[#This Row],[_AlapShift]],WorkWeek,Holidays)))</f>
        <v/>
      </c>
      <c r="FD66" s="89" t="str">
        <f aca="false">IF(Tasks[[#This Row],[Task Name]]="","",IF(Tasks[[#This Row],[_IsSummary]],MIN(INDEX(Tasks[_ShownCalcStart],Tasks[[#This Row],[_Row]]+1):INDEX(Tasks[_ShownCalcStart],Tasks[[#This Row],[_Row]]+Tasks[[#This Row],[_Descendants]])),Tasks[[#This Row],[_ShownCalcStart]]))</f>
        <v/>
      </c>
      <c r="FE66" s="89" t="str">
        <f aca="false">IF(Tasks[[#This Row],[Task Name]]="","",IF(Tasks[[#This Row],[_IsSummary]],MAX(INDEX(Tasks[_ShownCalcFinish],Tasks[[#This Row],[_Row]]+1):INDEX(Tasks[_ShownCalcFinish],Tasks[[#This Row],[_Row]]+Tasks[[#This Row],[_Descendants]])),Tasks[[#This Row],[_ShownCalcFinish]]))</f>
        <v/>
      </c>
      <c r="FF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6" s="42" t="n">
        <f aca="false">IF(AND(Tasks[[#This Row],[_IsLeaf]]=1,Tasks[[#This Row],[_LeafTotalWork]]&gt;0),NETWORKDAYS.INTL(ProjectStart,Tasks[[#This Row],[_ShownFcstStart]],WorkWeek,Holidays),0)</f>
        <v>0</v>
      </c>
      <c r="FS66" s="42" t="n">
        <f aca="false">IF(AND(Tasks[[#This Row],[_IsLeaf]]=1,Tasks[[#This Row],[_LeafTotalWork]]&gt;0),MAX(Tasks[[#This Row],[_StartWorkday]],NETWORKDAYS.INTL(ProjectStart,Tasks[[#This Row],[_ShownFcstFinish]],WorkWeek,Holidays)),0)</f>
        <v>0</v>
      </c>
      <c r="FT66" s="42" t="n">
        <f aca="false">IF(AND(Tasks[[#This Row],[_IsLeaf]]=1,Tasks[[#This Row],[_LeafTotalWork]]&gt;0),Tasks[[#This Row],[_LeafWork]]/(Tasks[[#This Row],[_FinishWorkday]]-Tasks[[#This Row],[_StartWorkday]]+1),0)</f>
        <v>0</v>
      </c>
      <c r="FU66" s="42" t="n">
        <f aca="false">Tasks[[#This Row],[_WorkPerWorkday]]*(Tasks[[#This Row],[_StartWorkday]]-1)</f>
        <v>-0</v>
      </c>
      <c r="FV66" s="42" t="n">
        <f aca="false">IF(Tasks[[#This Row],[_IsLeaf]]=1,MAX(N(Tasks[[#This Row],[_Days]]),0.1),0)</f>
        <v>0</v>
      </c>
      <c r="FW66" s="42" t="n">
        <f aca="false">Tasks[[#This Row],[_WeightDur]]*Tasks[[#This Row],[_LeafProgress]]</f>
        <v>0</v>
      </c>
      <c r="FX66" s="42" t="n">
        <f aca="false">Tasks[[#This Row],[_WeightDur]]*Tasks[[#This Row],[_PlannedPct]]</f>
        <v>0</v>
      </c>
      <c r="FY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6" s="42" t="str">
        <f aca="false">IF(AND(Tasks[[#This Row],[_IsLeaf]]=1,N(Tasks[[#This Row],[_Days]])=0,Tasks[[#This Row],[_LeafProgress]]&lt;1),Tasks[[#This Row],[_ShownFcstFinish]]+Tasks[[#This Row],[_Row]]/100000,"")</f>
        <v/>
      </c>
      <c r="GA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6" s="42" t="str">
        <f aca="false">IF(Tasks[[#This Row],[Task Name]]="","",LEFT(Tasks[[#This Row],[WBS]],FIND(".",Tasks[[#This Row],[WBS]]&amp;".")-1))</f>
        <v/>
      </c>
      <c r="GC66" s="42" t="str">
        <f aca="false">IF(AND(Tasks[[#This Row],[Task Name]]&lt;&gt;"",Tasks[[#This Row],[_Level]]=1),Tasks[[#This Row],[_Row]],"")</f>
        <v/>
      </c>
      <c r="GD66" s="42" t="str">
        <f aca="false">IF(AND(Tasks[[#This Row],[_IsLeaf]]=1,N(Tasks[[#This Row],[_Days]])=0),Tasks[[#This Row],[Planned Finish]]+Tasks[[#This Row],[_Row]]/100000,"")</f>
        <v/>
      </c>
      <c r="GE66" s="42" t="str">
        <f aca="false">IF(AND(Tasks[[#This Row],[_IsLeaf]]=1,Tasks[[#This Row],[_LeafProgress]]&lt;1,OR(N(Tasks[[#This Row],[Finish Var]])&gt;0,Tasks[[#This Row],[Status]]="Late Start")),MAX(0,Tasks[[#This Row],[Finish Var]])+1-Tasks[[#This Row],[_Row]]/1000000,"")</f>
        <v/>
      </c>
      <c r="GF66" s="42" t="str">
        <f aca="false">IF(AND(Tasks[[#This Row],[_IsLeaf]]=1,N(Tasks[[#This Row],[Actual Start]])=0,Tasks[[#This Row],[_ShownFcstStart]]&gt;=StatusDate,Tasks[[#This Row],[_ShownFcstStart]]&lt;=LookaheadEnd),Tasks[[#This Row],[_ShownFcstStart]]+Tasks[[#This Row],[_Row]]/100000,"")</f>
        <v/>
      </c>
      <c r="GG66" s="42" t="str">
        <f aca="false">IF(AND(Tasks[[#This Row],[_IsLeaf]]=1,Tasks[[#This Row],[_LeafProgress]]&lt;1,Tasks[[#This Row],[_ShownFcstFinish]]&gt;=StatusDate,Tasks[[#This Row],[_ShownFcstFinish]]&lt;=LookaheadEnd),Tasks[[#This Row],[_ShownFcstFinish]]+Tasks[[#This Row],[_Row]]/100000,"")</f>
        <v/>
      </c>
      <c r="GH66" s="42" t="str">
        <f aca="false">IF(Tasks[[#This Row],[_LeafCritical]],Tasks[[#This Row],[_ShownFcstStart]]+Tasks[[#This Row],[_Row]]/100000,"")</f>
        <v/>
      </c>
      <c r="GI66" s="42" t="n">
        <f aca="false">Tasks[[#This Row],[_LeafWork]]*Tasks[[#This Row],[_LeafProgress]]</f>
        <v>0</v>
      </c>
      <c r="GJ66" s="89" t="str">
        <f aca="false">IF(AND(Tasks[[#This Row],[_IsLeaf]]=1,Tasks[[#This Row],[_LeafProgress]]&gt;=1),IF(N(Tasks[[#This Row],[Actual Finish]])&gt;0,Tasks[[#This Row],[Actual Finish]],Tasks[[#This Row],[_ShownFcstFinish]]),"")</f>
        <v/>
      </c>
      <c r="GK66" s="42" t="n">
        <f aca="false">IF(Tasks[[#This Row],[_IsLeaf]]=1,N(Tasks[[#This Row],[Story Points]]),0)</f>
        <v>0</v>
      </c>
      <c r="GL66" s="42" t="str">
        <f aca="false">""</f>
        <v/>
      </c>
      <c r="GM66" s="88" t="b">
        <f aca="false">IF(Tasks[[#This Row],[Task Name]]="",FALSE(),AND(Tasks[[#This Row],[_IsLeaf]]=1,N(Tasks[[#This Row],[_Days]])=0))</f>
        <v>0</v>
      </c>
      <c r="GN66" s="89" t="n">
        <f aca="false">IF(Tasks[[#This Row],[Task Name]]="",0,IF(AND(Tasks[[#This Row],[_IsLeaf]]=1,NOT(Tasks[[#This Row],[_IsMilestone]]),N(Tasks[[#This Row],[Progress]])&gt;0),Tasks[[#This Row],[Start]],0))</f>
        <v>0</v>
      </c>
      <c r="GO66" s="89" t="n">
        <f aca="false">IF(Tasks[[#This Row],[_DoneFrom]]=0,0,IF(Tasks[[#This Row],[Progress]]&gt;=1,Tasks[[#This Row],[Finish]],MAX(Tasks[[#This Row],[_DoneFrom]],Tasks[[#This Row],[Start]]+ROUND((Tasks[[#This Row],[Finish]]-Tasks[[#This Row],[Start]]+1)*Tasks[[#This Row],[Progress]],0)-1)))</f>
        <v>0</v>
      </c>
      <c r="GP66" s="89" t="n">
        <f aca="false">IF(Tasks[[#This Row],[Task Name]]="",0,IF(OR(NOT(Tasks[[#This Row],[_IsLeaf]]=1),Tasks[[#This Row],[_IsMilestone]],N(Tasks[[#This Row],[Progress]])&gt;=1),0,IF(Tasks[[#This Row],[_DoneTo]]&gt;0,Tasks[[#This Row],[_DoneTo]]+1,Tasks[[#This Row],[Start]])))</f>
        <v>0</v>
      </c>
      <c r="GQ66" s="89" t="n">
        <f aca="false">IF(Tasks[[#This Row],[_RemFrom]]=0,0,Tasks[[#This Row],[Finish]])</f>
        <v>0</v>
      </c>
      <c r="GR66" s="88" t="b">
        <f aca="false">IF(Tasks[[#This Row],[Task Name]]="",FALSE(),OR(NOT(BaselineSet),N(Tasks[[#This Row],[Baseline Start]])&gt;0))</f>
        <v>0</v>
      </c>
      <c r="GS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6" s="90" t="str">
        <f aca="false">IF(Tasks[[#This Row],[_IsLeaf]]=1,Tasks[[#This Row],[_Row]],"")</f>
        <v/>
      </c>
      <c r="GW66" s="90" t="str">
        <f aca="false">IFERROR(INDEX(Tasks[UID],SMALL(Tasks[_PickKey],Tasks[[#This Row],[_Row]]))&amp;" "&amp;INDEX(Tasks[Task Name],SMALL(Tasks[_PickKey],Tasks[[#This Row],[_Row]])),"")</f>
        <v/>
      </c>
      <c r="GX66" s="42" t="str">
        <f aca="false">IF(Tasks[[#This Row],[Task Name]]="","",IF(Tasks[[#This Row],[_IsSummary]],NETWORKDAYS.INTL(Tasks[[#This Row],[Start]],Tasks[[#This Row],[Finish]],WorkWeek,Holidays),N(Tasks[[#This Row],[_Days]])))</f>
        <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3"/>
      <c r="U67" s="23"/>
      <c r="V67" s="83"/>
      <c r="W67" s="23"/>
      <c r="X67" s="83"/>
      <c r="Y67" s="23"/>
      <c r="Z67" s="83"/>
      <c r="AA67" s="23"/>
      <c r="AB67" s="23"/>
      <c r="AC67" s="7"/>
      <c r="AD67" s="7"/>
      <c r="AE67" s="62" t="str">
        <f aca="false">IF(Tasks[[#This Row],[Task Name]]="","",IF(Tasks[[#This Row],[_IsSummary]],MIN(INDEX(Tasks[_ShownFcstStart],Tasks[[#This Row],[_Row]]+1):INDEX(Tasks[_ShownFcstStart],Tasks[[#This Row],[_Row]]+Tasks[[#This Row],[_Descendants]])),Tasks[[#This Row],[_ShownFcstStart]]))</f>
        <v/>
      </c>
      <c r="AF67" s="62"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7" s="7"/>
      <c r="AK67" s="22"/>
      <c r="AL67" s="23"/>
      <c r="AM67" s="7"/>
      <c r="AN67" s="46"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2" t="str">
        <f aca="false">IF(Tasks[[#This Row],[Task Name]]="","",IF(N(Tasks[[#This Row],[Baseline Start]])&gt;0,Tasks[[#This Row],[Baseline Start]],Tasks[[#This Row],[_CalcStart]]))</f>
        <v/>
      </c>
      <c r="AR67" s="62" t="str">
        <f aca="false">IF(Tasks[[#This Row],[Task Name]]="","",IF(N(Tasks[[#This Row],[Baseline Finish]])&gt;0,Tasks[[#This Row],[Baseline Finish]],Tasks[[#This Row],[_CalcFinish]]))</f>
        <v/>
      </c>
      <c r="AS67" s="46" t="str">
        <f aca="false">IF(Tasks[[#This Row],[Task Name]]="","",IF(Tasks[[#This Row],[Start]]&gt;=Tasks[[#This Row],[Planned Start]],NETWORKDAYS.INTL(Tasks[[#This Row],[Planned Start]],Tasks[[#This Row],[Start]],WorkWeek,Holidays)-1,1-NETWORKDAYS.INTL(Tasks[[#This Row],[Start]],Tasks[[#This Row],[Planned Start]],WorkWeek,Holidays)))</f>
        <v/>
      </c>
      <c r="AT67" s="62" t="str">
        <f aca="false">IF(Tasks[[#This Row],[Task Name]]="","",IF(Tasks[[#This Row],[_IsSummary]],MIN(INDEX(Tasks[_LeafLateStart],Tasks[[#This Row],[_Row]]+1):INDEX(Tasks[_LeafLateStart],Tasks[[#This Row],[_Row]]+Tasks[[#This Row],[_Descendants]])),Tasks[[#This Row],[_LeafLateStart]]))</f>
        <v/>
      </c>
      <c r="AU67" s="62" t="str">
        <f aca="false">IF(Tasks[[#This Row],[Task Name]]="","",IF(Tasks[[#This Row],[_IsSummary]],MAX(INDEX(Tasks[_LeafLateFinish],Tasks[[#This Row],[_Row]]+1):INDEX(Tasks[_LeafLateFinish],Tasks[[#This Row],[_Row]]+Tasks[[#This Row],[_Descendants]])),Tasks[[#This Row],[_LeafLateFinish]]))</f>
        <v/>
      </c>
      <c r="AV67" s="46"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4"/>
      <c r="BA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5"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6"/>
      <c r="BJ67" s="22"/>
      <c r="BK67" s="46" t="str">
        <f aca="false">IF(OR(Tasks[[#This Row],[Task Name]]="",Tasks[[#This Row],[Baseline Duration]]=""),"",Tasks[[#This Row],[_SpanDays]]-N(Tasks[[#This Row],[Baseline Duration]]))</f>
        <v/>
      </c>
      <c r="BL67" s="85" t="str">
        <f aca="false">IF(OR(Tasks[[#This Row],[Task Name]]="",Tasks[[#This Row],[Baseline Work]]=""),"",Tasks[[#This Row],[Work]]-N(Tasks[[#This Row],[Baseline Work]]))</f>
        <v/>
      </c>
      <c r="BM67" s="62" t="str">
        <f aca="false">IF(Tasks[[#This Row],[Task Name]]="","",IF(OR(TakeBaseline="Yes",N(Tasks[[#This Row],[Baseline Start]])=0),Tasks[[#This Row],[Start]],Tasks[[#This Row],[Baseline Start]]))</f>
        <v/>
      </c>
      <c r="BN67" s="62"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5" t="str">
        <f aca="false">IF(Tasks[[#This Row],[Task Name]]="","",IF(OR(TakeBaseline="Yes",N(Tasks[[#This Row],[Baseline Work]])=0),Tasks[[#This Row],[Work]],Tasks[[#This Row],[Baseline Work]]))</f>
        <v/>
      </c>
      <c r="BQ67" s="7"/>
      <c r="BR67" s="7"/>
      <c r="BS67" s="22"/>
      <c r="BT67" s="87"/>
      <c r="BU67" s="42" t="str">
        <f aca="false">IF(Tasks[[#This Row],[Task Name]]="","",MAX(1,N(Tasks[[#This Row],[Level]])))</f>
        <v/>
      </c>
      <c r="BV67" s="42" t="n">
        <f aca="false">ROW()-ROW(Tasks[[#Headers],[ID]])</f>
        <v>62</v>
      </c>
      <c r="BW67" s="42" t="n">
        <f aca="false">IF(OR(Tasks[[#This Row],[Task Name]]="",Tasks[[#This Row],[_Level]]&lt;=1),0,IFERROR(LOOKUP(2,1/(Tasks[[#Headers],[_Level]]:Tasks[[#This Row],[_Level]]=Tasks[[#This Row],[_Level]]-1),ROW(Tasks[[#Headers],[_Level]]:Tasks[[#This Row],[_Level]])),0))</f>
        <v>0</v>
      </c>
      <c r="BX67" s="42" t="n">
        <f aca="false">IFERROR(N(INDEX(Tasks[_Level],Tasks[[#This Row],[_Row]]+1)),0)</f>
        <v>0</v>
      </c>
      <c r="BY67" s="88" t="b">
        <f aca="false">AND(Tasks[[#This Row],[Task Name]]&lt;&gt;"",Tasks[[#This Row],[_NextLevel]]&gt;Tasks[[#This Row],[_Level]])</f>
        <v>0</v>
      </c>
      <c r="BZ67" s="42" t="n">
        <f aca="false">IF(Tasks[[#This Row],[_IsSummary]],COUNTIF(Tasks[WBS],Tasks[[#This Row],[WBS]]&amp;".*"),0)</f>
        <v>0</v>
      </c>
      <c r="CA67" s="42" t="n">
        <f aca="false">IF(AND(Tasks[[#This Row],[Task Name]]&lt;&gt;"",NOT(Tasks[[#This Row],[_IsSummary]])),1,0)</f>
        <v>0</v>
      </c>
      <c r="CB67" s="42" t="n">
        <f aca="false">IF(N(Tasks[[#This Row],[_Pred1UID]])=0,0,IFERROR(MATCH(Tasks[[#This Row],[_Pred1UID]],Tasks[UID],0),-1))</f>
        <v>0</v>
      </c>
      <c r="CC67" s="42" t="n">
        <f aca="false">IF(N(Tasks[[#This Row],[_Pred2UID]])=0,0,IFERROR(MATCH(Tasks[[#This Row],[_Pred2UID]],Tasks[UID],0),-1))</f>
        <v>0</v>
      </c>
      <c r="CD67" s="42" t="n">
        <f aca="false">IF(N(Tasks[[#This Row],[_Pred3UID]])=0,0,IFERROR(MATCH(Tasks[[#This Row],[_Pred3UID]],Tasks[UID],0),-1))</f>
        <v>0</v>
      </c>
      <c r="CE67" s="42" t="n">
        <f aca="false">IF(N(Tasks[[#This Row],[_Pred4UID]])=0,0,IFERROR(MATCH(Tasks[[#This Row],[_Pred4UID]],Tasks[UID],0),-1))</f>
        <v>0</v>
      </c>
      <c r="CF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7" s="89" t="n">
        <f aca="false">IF(OR(Tasks[[#This Row],[_ConstraintCode]]=2,Tasks[[#This Row],[_ConstraintCode]]=3,Tasks[[#This Row],[_ConstraintCode]]=4,Tasks[[#This Row],[_ConstraintCode]]=6),Tasks[[#This Row],[_ConstraintStart]],0)</f>
        <v>0</v>
      </c>
      <c r="CI67" s="89" t="n">
        <f aca="false">IF(OR(Tasks[[#This Row],[_ConstraintCode]]=2,Tasks[[#This Row],[_ConstraintCode]]=3,Tasks[[#This Row],[_ConstraintCode]]=5,Tasks[[#This Row],[_ConstraintCode]]=7),Tasks[[#This Row],[_ConstraintStart]],2958465)</f>
        <v>2958465</v>
      </c>
      <c r="CJ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7" s="89" t="str">
        <f aca="false">IF(NOT(Tasks[[#This Row],[_IsLeaf]]=1),"",IF(N(Tasks[[#This Row],[_Days]])&lt;=0,Tasks[[#This Row],[_LeafCalcStart]],WORKDAY.INTL(Tasks[[#This Row],[_LeafCalcStart]],Tasks[[#This Row],[_Days]]-1,WorkWeek,Holidays)))</f>
        <v/>
      </c>
      <c r="CL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7" s="42" t="str">
        <f aca="false">IF(Tasks[[#This Row],[_Predecessors]]="","",TRIM(MID(SUBSTITUTE(SUBSTITUTE(SUBSTITUTE(UPPER(Tasks[[#This Row],[_Predecessors]]),";",",")," ",""),",",REPT(" ",99)),1,99)))</f>
        <v/>
      </c>
      <c r="CO67" s="42" t="str">
        <f aca="false">IF(Tasks[[#This Row],[_Pred1Text]]="","",IFERROR(VALUE(LEFT(Tasks[[#This Row],[_Pred1Text]],MIN(FIND("F",Tasks[[#This Row],[_Pred1Text]]&amp;"F"),FIND("S",Tasks[[#This Row],[_Pred1Text]]&amp;"S"),FIND("+",Tasks[[#This Row],[_Pred1Text]]&amp;"+"),FIND("-",Tasks[[#This Row],[_Pred1Text]]&amp;"-"))-1)),""))</f>
        <v/>
      </c>
      <c r="CP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7" s="42" t="str">
        <f aca="false">IF(Tasks[[#This Row],[_Pred1Text]]="","",TRIM(MID(SUBSTITUTE(SUBSTITUTE(SUBSTITUTE(UPPER(Tasks[[#This Row],[_Predecessors]]),";",",")," ",""),",",REPT(" ",99)),100,99)))</f>
        <v/>
      </c>
      <c r="CS67" s="42" t="str">
        <f aca="false">IF(Tasks[[#This Row],[_Pred2Text]]="","",IFERROR(VALUE(LEFT(Tasks[[#This Row],[_Pred2Text]],MIN(FIND("F",Tasks[[#This Row],[_Pred2Text]]&amp;"F"),FIND("S",Tasks[[#This Row],[_Pred2Text]]&amp;"S"),FIND("+",Tasks[[#This Row],[_Pred2Text]]&amp;"+"),FIND("-",Tasks[[#This Row],[_Pred2Text]]&amp;"-"))-1)),""))</f>
        <v/>
      </c>
      <c r="CT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7" s="42" t="str">
        <f aca="false">IF(Tasks[[#This Row],[_Pred2Text]]="","",TRIM(MID(SUBSTITUTE(SUBSTITUTE(SUBSTITUTE(UPPER(Tasks[[#This Row],[_Predecessors]]),";",",")," ",""),",",REPT(" ",99)),199,99)))</f>
        <v/>
      </c>
      <c r="CW67" s="42" t="str">
        <f aca="false">IF(Tasks[[#This Row],[_Pred3Text]]="","",IFERROR(VALUE(LEFT(Tasks[[#This Row],[_Pred3Text]],MIN(FIND("F",Tasks[[#This Row],[_Pred3Text]]&amp;"F"),FIND("S",Tasks[[#This Row],[_Pred3Text]]&amp;"S"),FIND("+",Tasks[[#This Row],[_Pred3Text]]&amp;"+"),FIND("-",Tasks[[#This Row],[_Pred3Text]]&amp;"-"))-1)),""))</f>
        <v/>
      </c>
      <c r="CX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7" s="42" t="str">
        <f aca="false">IF(Tasks[[#This Row],[_Pred3Text]]="","",TRIM(MID(SUBSTITUTE(SUBSTITUTE(SUBSTITUTE(UPPER(Tasks[[#This Row],[_Predecessors]]),";",",")," ",""),",",REPT(" ",99)),298,99)))</f>
        <v/>
      </c>
      <c r="DA67" s="42" t="str">
        <f aca="false">IF(Tasks[[#This Row],[_Pred4Text]]="","",IFERROR(VALUE(LEFT(Tasks[[#This Row],[_Pred4Text]],MIN(FIND("F",Tasks[[#This Row],[_Pred4Text]]&amp;"F"),FIND("S",Tasks[[#This Row],[_Pred4Text]]&amp;"S"),FIND("+",Tasks[[#This Row],[_Pred4Text]]&amp;"+"),FIND("-",Tasks[[#This Row],[_Pred4Text]]&amp;"-"))-1)),""))</f>
        <v/>
      </c>
      <c r="DB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7" s="42" t="str">
        <f aca="false">IF(OR(Tasks[[#This Row],[Task Name]]="",Tasks[[#This Row],[_Resources]]=""),"",TRIM(MID(SUBSTITUTE(Tasks[[#This Row],[_Resources]],",",REPT(" ",99)),1,99)))</f>
        <v/>
      </c>
      <c r="DE67" s="42" t="str">
        <f aca="false">IF(Tasks[[#This Row],[_Res1Text]]="","",TRIM(MID(SUBSTITUTE(Tasks[[#This Row],[_Resources]],",",REPT(" ",99)),100,99)))</f>
        <v/>
      </c>
      <c r="DF67" s="42" t="str">
        <f aca="false">IF(Tasks[[#This Row],[_Res2Text]]="","",TRIM(MID(SUBSTITUTE(Tasks[[#This Row],[_Resources]],",",REPT(" ",99)),199,99)))</f>
        <v/>
      </c>
      <c r="DG67" s="42" t="str">
        <f aca="false">IF(Tasks[[#This Row],[_Res3Text]]="","",TRIM(MID(SUBSTITUTE(Tasks[[#This Row],[_Resources]],",",REPT(" ",99)),298,99)))</f>
        <v/>
      </c>
      <c r="DH67" s="42" t="n">
        <f aca="false">IF(Tasks[[#This Row],[_Res1Text]]="",0,IFERROR(MATCH(TRIM(LEFT(Tasks[[#This Row],[_Res1Text]],FIND("[",Tasks[[#This Row],[_Res1Text]]&amp;"[")-1)),res_Name,0),IFERROR(MATCH(TRIM(LEFT(Tasks[[#This Row],[_Res1Text]],FIND("[",Tasks[[#This Row],[_Res1Text]]&amp;"[")-1)),res_Initials,0),0)))</f>
        <v>0</v>
      </c>
      <c r="DI67" s="42" t="n">
        <f aca="false">IF(Tasks[[#This Row],[_Res2Text]]="",0,IFERROR(MATCH(TRIM(LEFT(Tasks[[#This Row],[_Res2Text]],FIND("[",Tasks[[#This Row],[_Res2Text]]&amp;"[")-1)),res_Name,0),IFERROR(MATCH(TRIM(LEFT(Tasks[[#This Row],[_Res2Text]],FIND("[",Tasks[[#This Row],[_Res2Text]]&amp;"[")-1)),res_Initials,0),0)))</f>
        <v>0</v>
      </c>
      <c r="DJ67" s="42" t="n">
        <f aca="false">IF(Tasks[[#This Row],[_Res3Text]]="",0,IFERROR(MATCH(TRIM(LEFT(Tasks[[#This Row],[_Res3Text]],FIND("[",Tasks[[#This Row],[_Res3Text]]&amp;"[")-1)),res_Name,0),IFERROR(MATCH(TRIM(LEFT(Tasks[[#This Row],[_Res3Text]],FIND("[",Tasks[[#This Row],[_Res3Text]]&amp;"[")-1)),res_Initials,0),0)))</f>
        <v>0</v>
      </c>
      <c r="DK67" s="42" t="n">
        <f aca="false">IF(Tasks[[#This Row],[_Res4Text]]="",0,IFERROR(MATCH(TRIM(LEFT(Tasks[[#This Row],[_Res4Text]],FIND("[",Tasks[[#This Row],[_Res4Text]]&amp;"[")-1)),res_Name,0),IFERROR(MATCH(TRIM(LEFT(Tasks[[#This Row],[_Res4Text]],FIND("[",Tasks[[#This Row],[_Res4Text]]&amp;"[")-1)),res_Initials,0),0)))</f>
        <v>0</v>
      </c>
      <c r="DL67" s="42" t="str">
        <f aca="false">IF(Tasks[[#This Row],[_Res1Text]]="","",IF(Tasks[[#This Row],[_Res1Row]]&gt;0,INDEX(res_Name,Tasks[[#This Row],[_Res1Row]]),TRIM(LEFT(Tasks[[#This Row],[_Res1Text]],FIND("[",Tasks[[#This Row],[_Res1Text]]&amp;"[")-1))))</f>
        <v/>
      </c>
      <c r="DM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7" s="42" t="n">
        <f aca="false">IF(NOT(Tasks[[#This Row],[_IsLeaf]]=1),0,(Tasks[[#This Row],[_Resource1]]&lt;&gt;"")+(Tasks[[#This Row],[_Res2]]&lt;&gt;"")+(Tasks[[#This Row],[_Res3]]&lt;&gt;"")+(Tasks[[#This Row],[_Res4]]&lt;&gt;""))</f>
        <v>0</v>
      </c>
      <c r="DO67" s="42" t="str">
        <f aca="false">IF(Tasks[[#This Row],[_Res2Text]]="","",IF(Tasks[[#This Row],[_Res2Row]]&gt;0,INDEX(res_Name,Tasks[[#This Row],[_Res2Row]]),TRIM(LEFT(Tasks[[#This Row],[_Res2Text]],FIND("[",Tasks[[#This Row],[_Res2Text]]&amp;"[")-1))))</f>
        <v/>
      </c>
      <c r="DP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7" s="42" t="n">
        <f aca="false">IF(OR(NOT(Tasks[[#This Row],[_IsLeaf]]=1),Tasks[[#This Row],[_Res2Row]]=0),0,N(Tasks[[#This Row],[_Days]])*HoursPerDay*IF(Tasks[[#This Row],[_Res2Units]]="",DefaultUnits,Tasks[[#This Row],[_Res2Units]]))</f>
        <v>0</v>
      </c>
      <c r="DR67" s="42" t="n">
        <f aca="false">IF(AND(AND(Tasks[[#This Row],[_IsLeaf]]=1,Tasks[[#This Row],[_LeafTotalWork]]&gt;0),Tasks[[#This Row],[_Res2Work]]&gt;0),Tasks[[#This Row],[_Res2Work]]/(Tasks[[#This Row],[_FinishWorkday]]-Tasks[[#This Row],[_StartWorkday]]+1),0)</f>
        <v>0</v>
      </c>
      <c r="DS67" s="42" t="n">
        <f aca="false">Tasks[[#This Row],[_Res2WorkPerWD]]*MAX(0,Tasks[[#This Row],[_StartWorkday]]-1)</f>
        <v>0</v>
      </c>
      <c r="DT67" s="42" t="n">
        <f aca="false">Tasks[[#This Row],[_Res2Work]]*Tasks[[#This Row],[_LeafProgress]]</f>
        <v>0</v>
      </c>
      <c r="DU67" s="42" t="str">
        <f aca="false">IF(Tasks[[#This Row],[_Res3Text]]="","",IF(Tasks[[#This Row],[_Res3Row]]&gt;0,INDEX(res_Name,Tasks[[#This Row],[_Res3Row]]),TRIM(LEFT(Tasks[[#This Row],[_Res3Text]],FIND("[",Tasks[[#This Row],[_Res3Text]]&amp;"[")-1))))</f>
        <v/>
      </c>
      <c r="DV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7" s="42" t="n">
        <f aca="false">IF(OR(NOT(Tasks[[#This Row],[_IsLeaf]]=1),Tasks[[#This Row],[_Res3Row]]=0),0,N(Tasks[[#This Row],[_Days]])*HoursPerDay*IF(Tasks[[#This Row],[_Res3Units]]="",DefaultUnits,Tasks[[#This Row],[_Res3Units]]))</f>
        <v>0</v>
      </c>
      <c r="DX67" s="42" t="n">
        <f aca="false">IF(AND(AND(Tasks[[#This Row],[_IsLeaf]]=1,Tasks[[#This Row],[_LeafTotalWork]]&gt;0),Tasks[[#This Row],[_Res3Work]]&gt;0),Tasks[[#This Row],[_Res3Work]]/(Tasks[[#This Row],[_FinishWorkday]]-Tasks[[#This Row],[_StartWorkday]]+1),0)</f>
        <v>0</v>
      </c>
      <c r="DY67" s="42" t="n">
        <f aca="false">Tasks[[#This Row],[_Res3WorkPerWD]]*MAX(0,Tasks[[#This Row],[_StartWorkday]]-1)</f>
        <v>0</v>
      </c>
      <c r="DZ67" s="42" t="n">
        <f aca="false">Tasks[[#This Row],[_Res3Work]]*Tasks[[#This Row],[_LeafProgress]]</f>
        <v>0</v>
      </c>
      <c r="EA67" s="42" t="str">
        <f aca="false">IF(Tasks[[#This Row],[_Res4Text]]="","",IF(Tasks[[#This Row],[_Res4Row]]&gt;0,INDEX(res_Name,Tasks[[#This Row],[_Res4Row]]),TRIM(LEFT(Tasks[[#This Row],[_Res4Text]],FIND("[",Tasks[[#This Row],[_Res4Text]]&amp;"[")-1))))</f>
        <v/>
      </c>
      <c r="EB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7" s="42" t="n">
        <f aca="false">IF(OR(NOT(Tasks[[#This Row],[_IsLeaf]]=1),Tasks[[#This Row],[_Res4Row]]=0),0,N(Tasks[[#This Row],[_Days]])*HoursPerDay*IF(Tasks[[#This Row],[_Res4Units]]="",DefaultUnits,Tasks[[#This Row],[_Res4Units]]))</f>
        <v>0</v>
      </c>
      <c r="ED67" s="42" t="n">
        <f aca="false">IF(AND(AND(Tasks[[#This Row],[_IsLeaf]]=1,Tasks[[#This Row],[_LeafTotalWork]]&gt;0),Tasks[[#This Row],[_Res4Work]]&gt;0),Tasks[[#This Row],[_Res4Work]]/(Tasks[[#This Row],[_FinishWorkday]]-Tasks[[#This Row],[_StartWorkday]]+1),0)</f>
        <v>0</v>
      </c>
      <c r="EE67" s="42" t="n">
        <f aca="false">Tasks[[#This Row],[_Res4WorkPerWD]]*MAX(0,Tasks[[#This Row],[_StartWorkday]]-1)</f>
        <v>0</v>
      </c>
      <c r="EF67" s="42" t="n">
        <f aca="false">Tasks[[#This Row],[_Res4Work]]*Tasks[[#This Row],[_LeafProgress]]</f>
        <v>0</v>
      </c>
      <c r="EG67" s="42" t="n">
        <f aca="false">IF(ISNUMBER(Tasks[[#This Row],[% Complete]]),Tasks[[#This Row],[% Complete]],IF(Tasks[[#This Row],[Stage]]="",0,IFERROR(INDEX(stg_Pct,MATCH(Tasks[[#This Row],[Stage]],stg_Name,0)),0)))</f>
        <v>0</v>
      </c>
      <c r="EH67" s="42" t="n">
        <f aca="false">IF(NOT(Tasks[[#This Row],[_IsLeaf]]=1),0,IF(N(Tasks[[#This Row],[Actual Finish]])&gt;0,1,MIN(1,Tasks[[#This Row],[_Pct]])))</f>
        <v>0</v>
      </c>
      <c r="EI67" s="42" t="n">
        <f aca="false">IF(OR(NOT(Tasks[[#This Row],[_IsLeaf]]=1),Tasks[[#This Row],[_Res1Row]]=0),0,N(Tasks[[#This Row],[_Days]])*HoursPerDay*IF(Tasks[[#This Row],[_Units1]]="",DefaultUnits,Tasks[[#This Row],[_Units1]]))</f>
        <v>0</v>
      </c>
      <c r="EJ67" s="42" t="n">
        <f aca="false">Tasks[[#This Row],[_LeafWork]]+Tasks[[#This Row],[_Res2Work]]+Tasks[[#This Row],[_Res3Work]]+Tasks[[#This Row],[_Res4Work]]</f>
        <v>0</v>
      </c>
      <c r="EK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7" s="42" t="n">
        <f aca="false">IF(NOT(Tasks[[#This Row],[_IsLeaf]]=1),0,MAX(_xlfn.MAXIFS(Tasks[_Row],Tasks[_Pred1UID],Tasks[[#This Row],[UID]]),_xlfn.MAXIFS(Tasks[_Row],Tasks[_Pred2UID],Tasks[[#This Row],[UID]]),_xlfn.MAXIFS(Tasks[_Row],Tasks[_Pred3UID],Tasks[[#This Row],[UID]]),_xlfn.MAXIFS(Tasks[_Row],Tasks[_Pred4UID],Tasks[[#This Row],[UID]])))</f>
        <v>0</v>
      </c>
      <c r="ET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7" s="89" t="str">
        <f aca="false">IF(NOT(Tasks[[#This Row],[_IsLeaf]]=1),"",IF(N(Tasks[[#This Row],[_Days]])&lt;=0,Tasks[[#This Row],[_LeafLateFinish]],WORKDAY.INTL(Tasks[[#This Row],[_LeafLateFinish]],-(Tasks[[#This Row],[_Days]]-1),WorkWeek,Holidays)))</f>
        <v/>
      </c>
      <c r="EW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7" s="88" t="b">
        <f aca="false">AND(Tasks[[#This Row],[_IsLeaf]]=1,Tasks[[#This Row],[_LeafProgress]]&lt;1,N(Tasks[[#This Row],[_LeafTotalSlack]])&lt;=CriticalSlackDays)</f>
        <v>0</v>
      </c>
      <c r="EY67" s="42" t="n">
        <f aca="false">IF(AND(Tasks[[#This Row],[_IsLeaf]]=1,Tasks[[#This Row],[_ConstraintCode]]=1,Tasks[[#This Row],[Mode]]&lt;&gt;"Manual",N(Tasks[[#This Row],[Actual Start]])=0),MAX(0,N(Tasks[[#This Row],[Free Slack]])),0)</f>
        <v>0</v>
      </c>
      <c r="EZ67" s="89" t="str">
        <f aca="false">IF(NOT(Tasks[[#This Row],[_IsLeaf]]=1),"",IF(Tasks[[#This Row],[_AlapShift]]=0,Tasks[[#This Row],[_LeafCalcStart]],WORKDAY.INTL(Tasks[[#This Row],[_LeafCalcStart]],Tasks[[#This Row],[_AlapShift]],WorkWeek,Holidays)))</f>
        <v/>
      </c>
      <c r="FA67" s="89" t="str">
        <f aca="false">IF(NOT(Tasks[[#This Row],[_IsLeaf]]=1),"",IF(Tasks[[#This Row],[_AlapShift]]=0,Tasks[[#This Row],[_LeafCalcFinish]],WORKDAY.INTL(Tasks[[#This Row],[_LeafCalcFinish]],Tasks[[#This Row],[_AlapShift]],WorkWeek,Holidays)))</f>
        <v/>
      </c>
      <c r="FB67" s="89" t="str">
        <f aca="false">IF(NOT(Tasks[[#This Row],[_IsLeaf]]=1),"",IF(Tasks[[#This Row],[_AlapShift]]=0,Tasks[[#This Row],[_LeafFcstStart]],WORKDAY.INTL(Tasks[[#This Row],[_LeafFcstStart]],Tasks[[#This Row],[_AlapShift]],WorkWeek,Holidays)))</f>
        <v/>
      </c>
      <c r="FC67" s="89" t="str">
        <f aca="false">IF(NOT(Tasks[[#This Row],[_IsLeaf]]=1),"",IF(Tasks[[#This Row],[_AlapShift]]=0,Tasks[[#This Row],[_LeafFcstFinish]],WORKDAY.INTL(Tasks[[#This Row],[_LeafFcstFinish]],Tasks[[#This Row],[_AlapShift]],WorkWeek,Holidays)))</f>
        <v/>
      </c>
      <c r="FD67" s="89" t="str">
        <f aca="false">IF(Tasks[[#This Row],[Task Name]]="","",IF(Tasks[[#This Row],[_IsSummary]],MIN(INDEX(Tasks[_ShownCalcStart],Tasks[[#This Row],[_Row]]+1):INDEX(Tasks[_ShownCalcStart],Tasks[[#This Row],[_Row]]+Tasks[[#This Row],[_Descendants]])),Tasks[[#This Row],[_ShownCalcStart]]))</f>
        <v/>
      </c>
      <c r="FE67" s="89" t="str">
        <f aca="false">IF(Tasks[[#This Row],[Task Name]]="","",IF(Tasks[[#This Row],[_IsSummary]],MAX(INDEX(Tasks[_ShownCalcFinish],Tasks[[#This Row],[_Row]]+1):INDEX(Tasks[_ShownCalcFinish],Tasks[[#This Row],[_Row]]+Tasks[[#This Row],[_Descendants]])),Tasks[[#This Row],[_ShownCalcFinish]]))</f>
        <v/>
      </c>
      <c r="FF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7" s="42" t="n">
        <f aca="false">IF(AND(Tasks[[#This Row],[_IsLeaf]]=1,Tasks[[#This Row],[_LeafTotalWork]]&gt;0),NETWORKDAYS.INTL(ProjectStart,Tasks[[#This Row],[_ShownFcstStart]],WorkWeek,Holidays),0)</f>
        <v>0</v>
      </c>
      <c r="FS67" s="42" t="n">
        <f aca="false">IF(AND(Tasks[[#This Row],[_IsLeaf]]=1,Tasks[[#This Row],[_LeafTotalWork]]&gt;0),MAX(Tasks[[#This Row],[_StartWorkday]],NETWORKDAYS.INTL(ProjectStart,Tasks[[#This Row],[_ShownFcstFinish]],WorkWeek,Holidays)),0)</f>
        <v>0</v>
      </c>
      <c r="FT67" s="42" t="n">
        <f aca="false">IF(AND(Tasks[[#This Row],[_IsLeaf]]=1,Tasks[[#This Row],[_LeafTotalWork]]&gt;0),Tasks[[#This Row],[_LeafWork]]/(Tasks[[#This Row],[_FinishWorkday]]-Tasks[[#This Row],[_StartWorkday]]+1),0)</f>
        <v>0</v>
      </c>
      <c r="FU67" s="42" t="n">
        <f aca="false">Tasks[[#This Row],[_WorkPerWorkday]]*(Tasks[[#This Row],[_StartWorkday]]-1)</f>
        <v>-0</v>
      </c>
      <c r="FV67" s="42" t="n">
        <f aca="false">IF(Tasks[[#This Row],[_IsLeaf]]=1,MAX(N(Tasks[[#This Row],[_Days]]),0.1),0)</f>
        <v>0</v>
      </c>
      <c r="FW67" s="42" t="n">
        <f aca="false">Tasks[[#This Row],[_WeightDur]]*Tasks[[#This Row],[_LeafProgress]]</f>
        <v>0</v>
      </c>
      <c r="FX67" s="42" t="n">
        <f aca="false">Tasks[[#This Row],[_WeightDur]]*Tasks[[#This Row],[_PlannedPct]]</f>
        <v>0</v>
      </c>
      <c r="FY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7" s="42" t="str">
        <f aca="false">IF(AND(Tasks[[#This Row],[_IsLeaf]]=1,N(Tasks[[#This Row],[_Days]])=0,Tasks[[#This Row],[_LeafProgress]]&lt;1),Tasks[[#This Row],[_ShownFcstFinish]]+Tasks[[#This Row],[_Row]]/100000,"")</f>
        <v/>
      </c>
      <c r="GA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7" s="42" t="str">
        <f aca="false">IF(Tasks[[#This Row],[Task Name]]="","",LEFT(Tasks[[#This Row],[WBS]],FIND(".",Tasks[[#This Row],[WBS]]&amp;".")-1))</f>
        <v/>
      </c>
      <c r="GC67" s="42" t="str">
        <f aca="false">IF(AND(Tasks[[#This Row],[Task Name]]&lt;&gt;"",Tasks[[#This Row],[_Level]]=1),Tasks[[#This Row],[_Row]],"")</f>
        <v/>
      </c>
      <c r="GD67" s="42" t="str">
        <f aca="false">IF(AND(Tasks[[#This Row],[_IsLeaf]]=1,N(Tasks[[#This Row],[_Days]])=0),Tasks[[#This Row],[Planned Finish]]+Tasks[[#This Row],[_Row]]/100000,"")</f>
        <v/>
      </c>
      <c r="GE67" s="42" t="str">
        <f aca="false">IF(AND(Tasks[[#This Row],[_IsLeaf]]=1,Tasks[[#This Row],[_LeafProgress]]&lt;1,OR(N(Tasks[[#This Row],[Finish Var]])&gt;0,Tasks[[#This Row],[Status]]="Late Start")),MAX(0,Tasks[[#This Row],[Finish Var]])+1-Tasks[[#This Row],[_Row]]/1000000,"")</f>
        <v/>
      </c>
      <c r="GF67" s="42" t="str">
        <f aca="false">IF(AND(Tasks[[#This Row],[_IsLeaf]]=1,N(Tasks[[#This Row],[Actual Start]])=0,Tasks[[#This Row],[_ShownFcstStart]]&gt;=StatusDate,Tasks[[#This Row],[_ShownFcstStart]]&lt;=LookaheadEnd),Tasks[[#This Row],[_ShownFcstStart]]+Tasks[[#This Row],[_Row]]/100000,"")</f>
        <v/>
      </c>
      <c r="GG67" s="42" t="str">
        <f aca="false">IF(AND(Tasks[[#This Row],[_IsLeaf]]=1,Tasks[[#This Row],[_LeafProgress]]&lt;1,Tasks[[#This Row],[_ShownFcstFinish]]&gt;=StatusDate,Tasks[[#This Row],[_ShownFcstFinish]]&lt;=LookaheadEnd),Tasks[[#This Row],[_ShownFcstFinish]]+Tasks[[#This Row],[_Row]]/100000,"")</f>
        <v/>
      </c>
      <c r="GH67" s="42" t="str">
        <f aca="false">IF(Tasks[[#This Row],[_LeafCritical]],Tasks[[#This Row],[_ShownFcstStart]]+Tasks[[#This Row],[_Row]]/100000,"")</f>
        <v/>
      </c>
      <c r="GI67" s="42" t="n">
        <f aca="false">Tasks[[#This Row],[_LeafWork]]*Tasks[[#This Row],[_LeafProgress]]</f>
        <v>0</v>
      </c>
      <c r="GJ67" s="89" t="str">
        <f aca="false">IF(AND(Tasks[[#This Row],[_IsLeaf]]=1,Tasks[[#This Row],[_LeafProgress]]&gt;=1),IF(N(Tasks[[#This Row],[Actual Finish]])&gt;0,Tasks[[#This Row],[Actual Finish]],Tasks[[#This Row],[_ShownFcstFinish]]),"")</f>
        <v/>
      </c>
      <c r="GK67" s="42" t="n">
        <f aca="false">IF(Tasks[[#This Row],[_IsLeaf]]=1,N(Tasks[[#This Row],[Story Points]]),0)</f>
        <v>0</v>
      </c>
      <c r="GL67" s="42" t="str">
        <f aca="false">""</f>
        <v/>
      </c>
      <c r="GM67" s="88" t="b">
        <f aca="false">IF(Tasks[[#This Row],[Task Name]]="",FALSE(),AND(Tasks[[#This Row],[_IsLeaf]]=1,N(Tasks[[#This Row],[_Days]])=0))</f>
        <v>0</v>
      </c>
      <c r="GN67" s="89" t="n">
        <f aca="false">IF(Tasks[[#This Row],[Task Name]]="",0,IF(AND(Tasks[[#This Row],[_IsLeaf]]=1,NOT(Tasks[[#This Row],[_IsMilestone]]),N(Tasks[[#This Row],[Progress]])&gt;0),Tasks[[#This Row],[Start]],0))</f>
        <v>0</v>
      </c>
      <c r="GO67" s="89" t="n">
        <f aca="false">IF(Tasks[[#This Row],[_DoneFrom]]=0,0,IF(Tasks[[#This Row],[Progress]]&gt;=1,Tasks[[#This Row],[Finish]],MAX(Tasks[[#This Row],[_DoneFrom]],Tasks[[#This Row],[Start]]+ROUND((Tasks[[#This Row],[Finish]]-Tasks[[#This Row],[Start]]+1)*Tasks[[#This Row],[Progress]],0)-1)))</f>
        <v>0</v>
      </c>
      <c r="GP67" s="89" t="n">
        <f aca="false">IF(Tasks[[#This Row],[Task Name]]="",0,IF(OR(NOT(Tasks[[#This Row],[_IsLeaf]]=1),Tasks[[#This Row],[_IsMilestone]],N(Tasks[[#This Row],[Progress]])&gt;=1),0,IF(Tasks[[#This Row],[_DoneTo]]&gt;0,Tasks[[#This Row],[_DoneTo]]+1,Tasks[[#This Row],[Start]])))</f>
        <v>0</v>
      </c>
      <c r="GQ67" s="89" t="n">
        <f aca="false">IF(Tasks[[#This Row],[_RemFrom]]=0,0,Tasks[[#This Row],[Finish]])</f>
        <v>0</v>
      </c>
      <c r="GR67" s="88" t="b">
        <f aca="false">IF(Tasks[[#This Row],[Task Name]]="",FALSE(),OR(NOT(BaselineSet),N(Tasks[[#This Row],[Baseline Start]])&gt;0))</f>
        <v>0</v>
      </c>
      <c r="GS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7" s="90" t="str">
        <f aca="false">IF(Tasks[[#This Row],[_IsLeaf]]=1,Tasks[[#This Row],[_Row]],"")</f>
        <v/>
      </c>
      <c r="GW67" s="90" t="str">
        <f aca="false">IFERROR(INDEX(Tasks[UID],SMALL(Tasks[_PickKey],Tasks[[#This Row],[_Row]]))&amp;" "&amp;INDEX(Tasks[Task Name],SMALL(Tasks[_PickKey],Tasks[[#This Row],[_Row]])),"")</f>
        <v/>
      </c>
      <c r="GX67" s="42" t="str">
        <f aca="false">IF(Tasks[[#This Row],[Task Name]]="","",IF(Tasks[[#This Row],[_IsSummary]],NETWORKDAYS.INTL(Tasks[[#This Row],[Start]],Tasks[[#This Row],[Finish]],WorkWeek,Holidays),N(Tasks[[#This Row],[_Days]])))</f>
        <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3"/>
      <c r="U68" s="23"/>
      <c r="V68" s="83"/>
      <c r="W68" s="23"/>
      <c r="X68" s="83"/>
      <c r="Y68" s="23"/>
      <c r="Z68" s="83"/>
      <c r="AA68" s="23"/>
      <c r="AB68" s="23"/>
      <c r="AC68" s="7"/>
      <c r="AD68" s="7"/>
      <c r="AE68" s="62" t="str">
        <f aca="false">IF(Tasks[[#This Row],[Task Name]]="","",IF(Tasks[[#This Row],[_IsSummary]],MIN(INDEX(Tasks[_ShownFcstStart],Tasks[[#This Row],[_Row]]+1):INDEX(Tasks[_ShownFcstStart],Tasks[[#This Row],[_Row]]+Tasks[[#This Row],[_Descendants]])),Tasks[[#This Row],[_ShownFcstStart]]))</f>
        <v/>
      </c>
      <c r="AF68" s="62"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8" s="7"/>
      <c r="AK68" s="22"/>
      <c r="AL68" s="23"/>
      <c r="AM68" s="7"/>
      <c r="AN68" s="46"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2" t="str">
        <f aca="false">IF(Tasks[[#This Row],[Task Name]]="","",IF(N(Tasks[[#This Row],[Baseline Start]])&gt;0,Tasks[[#This Row],[Baseline Start]],Tasks[[#This Row],[_CalcStart]]))</f>
        <v/>
      </c>
      <c r="AR68" s="62" t="str">
        <f aca="false">IF(Tasks[[#This Row],[Task Name]]="","",IF(N(Tasks[[#This Row],[Baseline Finish]])&gt;0,Tasks[[#This Row],[Baseline Finish]],Tasks[[#This Row],[_CalcFinish]]))</f>
        <v/>
      </c>
      <c r="AS68" s="46" t="str">
        <f aca="false">IF(Tasks[[#This Row],[Task Name]]="","",IF(Tasks[[#This Row],[Start]]&gt;=Tasks[[#This Row],[Planned Start]],NETWORKDAYS.INTL(Tasks[[#This Row],[Planned Start]],Tasks[[#This Row],[Start]],WorkWeek,Holidays)-1,1-NETWORKDAYS.INTL(Tasks[[#This Row],[Start]],Tasks[[#This Row],[Planned Start]],WorkWeek,Holidays)))</f>
        <v/>
      </c>
      <c r="AT68" s="62" t="str">
        <f aca="false">IF(Tasks[[#This Row],[Task Name]]="","",IF(Tasks[[#This Row],[_IsSummary]],MIN(INDEX(Tasks[_LeafLateStart],Tasks[[#This Row],[_Row]]+1):INDEX(Tasks[_LeafLateStart],Tasks[[#This Row],[_Row]]+Tasks[[#This Row],[_Descendants]])),Tasks[[#This Row],[_LeafLateStart]]))</f>
        <v/>
      </c>
      <c r="AU68" s="62" t="str">
        <f aca="false">IF(Tasks[[#This Row],[Task Name]]="","",IF(Tasks[[#This Row],[_IsSummary]],MAX(INDEX(Tasks[_LeafLateFinish],Tasks[[#This Row],[_Row]]+1):INDEX(Tasks[_LeafLateFinish],Tasks[[#This Row],[_Row]]+Tasks[[#This Row],[_Descendants]])),Tasks[[#This Row],[_LeafLateFinish]]))</f>
        <v/>
      </c>
      <c r="AV68" s="46"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4"/>
      <c r="BA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5"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6"/>
      <c r="BJ68" s="22"/>
      <c r="BK68" s="46" t="str">
        <f aca="false">IF(OR(Tasks[[#This Row],[Task Name]]="",Tasks[[#This Row],[Baseline Duration]]=""),"",Tasks[[#This Row],[_SpanDays]]-N(Tasks[[#This Row],[Baseline Duration]]))</f>
        <v/>
      </c>
      <c r="BL68" s="85" t="str">
        <f aca="false">IF(OR(Tasks[[#This Row],[Task Name]]="",Tasks[[#This Row],[Baseline Work]]=""),"",Tasks[[#This Row],[Work]]-N(Tasks[[#This Row],[Baseline Work]]))</f>
        <v/>
      </c>
      <c r="BM68" s="62" t="str">
        <f aca="false">IF(Tasks[[#This Row],[Task Name]]="","",IF(OR(TakeBaseline="Yes",N(Tasks[[#This Row],[Baseline Start]])=0),Tasks[[#This Row],[Start]],Tasks[[#This Row],[Baseline Start]]))</f>
        <v/>
      </c>
      <c r="BN68" s="62"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5" t="str">
        <f aca="false">IF(Tasks[[#This Row],[Task Name]]="","",IF(OR(TakeBaseline="Yes",N(Tasks[[#This Row],[Baseline Work]])=0),Tasks[[#This Row],[Work]],Tasks[[#This Row],[Baseline Work]]))</f>
        <v/>
      </c>
      <c r="BQ68" s="7"/>
      <c r="BR68" s="7"/>
      <c r="BS68" s="22"/>
      <c r="BT68" s="87"/>
      <c r="BU68" s="42" t="str">
        <f aca="false">IF(Tasks[[#This Row],[Task Name]]="","",MAX(1,N(Tasks[[#This Row],[Level]])))</f>
        <v/>
      </c>
      <c r="BV68" s="42" t="n">
        <f aca="false">ROW()-ROW(Tasks[[#Headers],[ID]])</f>
        <v>63</v>
      </c>
      <c r="BW68" s="42" t="n">
        <f aca="false">IF(OR(Tasks[[#This Row],[Task Name]]="",Tasks[[#This Row],[_Level]]&lt;=1),0,IFERROR(LOOKUP(2,1/(Tasks[[#Headers],[_Level]]:Tasks[[#This Row],[_Level]]=Tasks[[#This Row],[_Level]]-1),ROW(Tasks[[#Headers],[_Level]]:Tasks[[#This Row],[_Level]])),0))</f>
        <v>0</v>
      </c>
      <c r="BX68" s="42" t="n">
        <f aca="false">IFERROR(N(INDEX(Tasks[_Level],Tasks[[#This Row],[_Row]]+1)),0)</f>
        <v>0</v>
      </c>
      <c r="BY68" s="88" t="b">
        <f aca="false">AND(Tasks[[#This Row],[Task Name]]&lt;&gt;"",Tasks[[#This Row],[_NextLevel]]&gt;Tasks[[#This Row],[_Level]])</f>
        <v>0</v>
      </c>
      <c r="BZ68" s="42" t="n">
        <f aca="false">IF(Tasks[[#This Row],[_IsSummary]],COUNTIF(Tasks[WBS],Tasks[[#This Row],[WBS]]&amp;".*"),0)</f>
        <v>0</v>
      </c>
      <c r="CA68" s="42" t="n">
        <f aca="false">IF(AND(Tasks[[#This Row],[Task Name]]&lt;&gt;"",NOT(Tasks[[#This Row],[_IsSummary]])),1,0)</f>
        <v>0</v>
      </c>
      <c r="CB68" s="42" t="n">
        <f aca="false">IF(N(Tasks[[#This Row],[_Pred1UID]])=0,0,IFERROR(MATCH(Tasks[[#This Row],[_Pred1UID]],Tasks[UID],0),-1))</f>
        <v>0</v>
      </c>
      <c r="CC68" s="42" t="n">
        <f aca="false">IF(N(Tasks[[#This Row],[_Pred2UID]])=0,0,IFERROR(MATCH(Tasks[[#This Row],[_Pred2UID]],Tasks[UID],0),-1))</f>
        <v>0</v>
      </c>
      <c r="CD68" s="42" t="n">
        <f aca="false">IF(N(Tasks[[#This Row],[_Pred3UID]])=0,0,IFERROR(MATCH(Tasks[[#This Row],[_Pred3UID]],Tasks[UID],0),-1))</f>
        <v>0</v>
      </c>
      <c r="CE68" s="42" t="n">
        <f aca="false">IF(N(Tasks[[#This Row],[_Pred4UID]])=0,0,IFERROR(MATCH(Tasks[[#This Row],[_Pred4UID]],Tasks[UID],0),-1))</f>
        <v>0</v>
      </c>
      <c r="CF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8" s="89" t="n">
        <f aca="false">IF(OR(Tasks[[#This Row],[_ConstraintCode]]=2,Tasks[[#This Row],[_ConstraintCode]]=3,Tasks[[#This Row],[_ConstraintCode]]=4,Tasks[[#This Row],[_ConstraintCode]]=6),Tasks[[#This Row],[_ConstraintStart]],0)</f>
        <v>0</v>
      </c>
      <c r="CI68" s="89" t="n">
        <f aca="false">IF(OR(Tasks[[#This Row],[_ConstraintCode]]=2,Tasks[[#This Row],[_ConstraintCode]]=3,Tasks[[#This Row],[_ConstraintCode]]=5,Tasks[[#This Row],[_ConstraintCode]]=7),Tasks[[#This Row],[_ConstraintStart]],2958465)</f>
        <v>2958465</v>
      </c>
      <c r="CJ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8" s="89" t="str">
        <f aca="false">IF(NOT(Tasks[[#This Row],[_IsLeaf]]=1),"",IF(N(Tasks[[#This Row],[_Days]])&lt;=0,Tasks[[#This Row],[_LeafCalcStart]],WORKDAY.INTL(Tasks[[#This Row],[_LeafCalcStart]],Tasks[[#This Row],[_Days]]-1,WorkWeek,Holidays)))</f>
        <v/>
      </c>
      <c r="CL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8" s="42" t="str">
        <f aca="false">IF(Tasks[[#This Row],[_Predecessors]]="","",TRIM(MID(SUBSTITUTE(SUBSTITUTE(SUBSTITUTE(UPPER(Tasks[[#This Row],[_Predecessors]]),";",",")," ",""),",",REPT(" ",99)),1,99)))</f>
        <v/>
      </c>
      <c r="CO68" s="42" t="str">
        <f aca="false">IF(Tasks[[#This Row],[_Pred1Text]]="","",IFERROR(VALUE(LEFT(Tasks[[#This Row],[_Pred1Text]],MIN(FIND("F",Tasks[[#This Row],[_Pred1Text]]&amp;"F"),FIND("S",Tasks[[#This Row],[_Pred1Text]]&amp;"S"),FIND("+",Tasks[[#This Row],[_Pred1Text]]&amp;"+"),FIND("-",Tasks[[#This Row],[_Pred1Text]]&amp;"-"))-1)),""))</f>
        <v/>
      </c>
      <c r="CP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8" s="42" t="str">
        <f aca="false">IF(Tasks[[#This Row],[_Pred1Text]]="","",TRIM(MID(SUBSTITUTE(SUBSTITUTE(SUBSTITUTE(UPPER(Tasks[[#This Row],[_Predecessors]]),";",",")," ",""),",",REPT(" ",99)),100,99)))</f>
        <v/>
      </c>
      <c r="CS68" s="42" t="str">
        <f aca="false">IF(Tasks[[#This Row],[_Pred2Text]]="","",IFERROR(VALUE(LEFT(Tasks[[#This Row],[_Pred2Text]],MIN(FIND("F",Tasks[[#This Row],[_Pred2Text]]&amp;"F"),FIND("S",Tasks[[#This Row],[_Pred2Text]]&amp;"S"),FIND("+",Tasks[[#This Row],[_Pred2Text]]&amp;"+"),FIND("-",Tasks[[#This Row],[_Pred2Text]]&amp;"-"))-1)),""))</f>
        <v/>
      </c>
      <c r="CT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8" s="42" t="str">
        <f aca="false">IF(Tasks[[#This Row],[_Pred2Text]]="","",TRIM(MID(SUBSTITUTE(SUBSTITUTE(SUBSTITUTE(UPPER(Tasks[[#This Row],[_Predecessors]]),";",",")," ",""),",",REPT(" ",99)),199,99)))</f>
        <v/>
      </c>
      <c r="CW68" s="42" t="str">
        <f aca="false">IF(Tasks[[#This Row],[_Pred3Text]]="","",IFERROR(VALUE(LEFT(Tasks[[#This Row],[_Pred3Text]],MIN(FIND("F",Tasks[[#This Row],[_Pred3Text]]&amp;"F"),FIND("S",Tasks[[#This Row],[_Pred3Text]]&amp;"S"),FIND("+",Tasks[[#This Row],[_Pred3Text]]&amp;"+"),FIND("-",Tasks[[#This Row],[_Pred3Text]]&amp;"-"))-1)),""))</f>
        <v/>
      </c>
      <c r="CX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8" s="42" t="str">
        <f aca="false">IF(Tasks[[#This Row],[_Pred3Text]]="","",TRIM(MID(SUBSTITUTE(SUBSTITUTE(SUBSTITUTE(UPPER(Tasks[[#This Row],[_Predecessors]]),";",",")," ",""),",",REPT(" ",99)),298,99)))</f>
        <v/>
      </c>
      <c r="DA68" s="42" t="str">
        <f aca="false">IF(Tasks[[#This Row],[_Pred4Text]]="","",IFERROR(VALUE(LEFT(Tasks[[#This Row],[_Pred4Text]],MIN(FIND("F",Tasks[[#This Row],[_Pred4Text]]&amp;"F"),FIND("S",Tasks[[#This Row],[_Pred4Text]]&amp;"S"),FIND("+",Tasks[[#This Row],[_Pred4Text]]&amp;"+"),FIND("-",Tasks[[#This Row],[_Pred4Text]]&amp;"-"))-1)),""))</f>
        <v/>
      </c>
      <c r="DB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8" s="42" t="str">
        <f aca="false">IF(OR(Tasks[[#This Row],[Task Name]]="",Tasks[[#This Row],[_Resources]]=""),"",TRIM(MID(SUBSTITUTE(Tasks[[#This Row],[_Resources]],",",REPT(" ",99)),1,99)))</f>
        <v/>
      </c>
      <c r="DE68" s="42" t="str">
        <f aca="false">IF(Tasks[[#This Row],[_Res1Text]]="","",TRIM(MID(SUBSTITUTE(Tasks[[#This Row],[_Resources]],",",REPT(" ",99)),100,99)))</f>
        <v/>
      </c>
      <c r="DF68" s="42" t="str">
        <f aca="false">IF(Tasks[[#This Row],[_Res2Text]]="","",TRIM(MID(SUBSTITUTE(Tasks[[#This Row],[_Resources]],",",REPT(" ",99)),199,99)))</f>
        <v/>
      </c>
      <c r="DG68" s="42" t="str">
        <f aca="false">IF(Tasks[[#This Row],[_Res3Text]]="","",TRIM(MID(SUBSTITUTE(Tasks[[#This Row],[_Resources]],",",REPT(" ",99)),298,99)))</f>
        <v/>
      </c>
      <c r="DH68" s="42" t="n">
        <f aca="false">IF(Tasks[[#This Row],[_Res1Text]]="",0,IFERROR(MATCH(TRIM(LEFT(Tasks[[#This Row],[_Res1Text]],FIND("[",Tasks[[#This Row],[_Res1Text]]&amp;"[")-1)),res_Name,0),IFERROR(MATCH(TRIM(LEFT(Tasks[[#This Row],[_Res1Text]],FIND("[",Tasks[[#This Row],[_Res1Text]]&amp;"[")-1)),res_Initials,0),0)))</f>
        <v>0</v>
      </c>
      <c r="DI68" s="42" t="n">
        <f aca="false">IF(Tasks[[#This Row],[_Res2Text]]="",0,IFERROR(MATCH(TRIM(LEFT(Tasks[[#This Row],[_Res2Text]],FIND("[",Tasks[[#This Row],[_Res2Text]]&amp;"[")-1)),res_Name,0),IFERROR(MATCH(TRIM(LEFT(Tasks[[#This Row],[_Res2Text]],FIND("[",Tasks[[#This Row],[_Res2Text]]&amp;"[")-1)),res_Initials,0),0)))</f>
        <v>0</v>
      </c>
      <c r="DJ68" s="42" t="n">
        <f aca="false">IF(Tasks[[#This Row],[_Res3Text]]="",0,IFERROR(MATCH(TRIM(LEFT(Tasks[[#This Row],[_Res3Text]],FIND("[",Tasks[[#This Row],[_Res3Text]]&amp;"[")-1)),res_Name,0),IFERROR(MATCH(TRIM(LEFT(Tasks[[#This Row],[_Res3Text]],FIND("[",Tasks[[#This Row],[_Res3Text]]&amp;"[")-1)),res_Initials,0),0)))</f>
        <v>0</v>
      </c>
      <c r="DK68" s="42" t="n">
        <f aca="false">IF(Tasks[[#This Row],[_Res4Text]]="",0,IFERROR(MATCH(TRIM(LEFT(Tasks[[#This Row],[_Res4Text]],FIND("[",Tasks[[#This Row],[_Res4Text]]&amp;"[")-1)),res_Name,0),IFERROR(MATCH(TRIM(LEFT(Tasks[[#This Row],[_Res4Text]],FIND("[",Tasks[[#This Row],[_Res4Text]]&amp;"[")-1)),res_Initials,0),0)))</f>
        <v>0</v>
      </c>
      <c r="DL68" s="42" t="str">
        <f aca="false">IF(Tasks[[#This Row],[_Res1Text]]="","",IF(Tasks[[#This Row],[_Res1Row]]&gt;0,INDEX(res_Name,Tasks[[#This Row],[_Res1Row]]),TRIM(LEFT(Tasks[[#This Row],[_Res1Text]],FIND("[",Tasks[[#This Row],[_Res1Text]]&amp;"[")-1))))</f>
        <v/>
      </c>
      <c r="DM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8" s="42" t="n">
        <f aca="false">IF(NOT(Tasks[[#This Row],[_IsLeaf]]=1),0,(Tasks[[#This Row],[_Resource1]]&lt;&gt;"")+(Tasks[[#This Row],[_Res2]]&lt;&gt;"")+(Tasks[[#This Row],[_Res3]]&lt;&gt;"")+(Tasks[[#This Row],[_Res4]]&lt;&gt;""))</f>
        <v>0</v>
      </c>
      <c r="DO68" s="42" t="str">
        <f aca="false">IF(Tasks[[#This Row],[_Res2Text]]="","",IF(Tasks[[#This Row],[_Res2Row]]&gt;0,INDEX(res_Name,Tasks[[#This Row],[_Res2Row]]),TRIM(LEFT(Tasks[[#This Row],[_Res2Text]],FIND("[",Tasks[[#This Row],[_Res2Text]]&amp;"[")-1))))</f>
        <v/>
      </c>
      <c r="DP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8" s="42" t="n">
        <f aca="false">IF(OR(NOT(Tasks[[#This Row],[_IsLeaf]]=1),Tasks[[#This Row],[_Res2Row]]=0),0,N(Tasks[[#This Row],[_Days]])*HoursPerDay*IF(Tasks[[#This Row],[_Res2Units]]="",DefaultUnits,Tasks[[#This Row],[_Res2Units]]))</f>
        <v>0</v>
      </c>
      <c r="DR68" s="42" t="n">
        <f aca="false">IF(AND(AND(Tasks[[#This Row],[_IsLeaf]]=1,Tasks[[#This Row],[_LeafTotalWork]]&gt;0),Tasks[[#This Row],[_Res2Work]]&gt;0),Tasks[[#This Row],[_Res2Work]]/(Tasks[[#This Row],[_FinishWorkday]]-Tasks[[#This Row],[_StartWorkday]]+1),0)</f>
        <v>0</v>
      </c>
      <c r="DS68" s="42" t="n">
        <f aca="false">Tasks[[#This Row],[_Res2WorkPerWD]]*MAX(0,Tasks[[#This Row],[_StartWorkday]]-1)</f>
        <v>0</v>
      </c>
      <c r="DT68" s="42" t="n">
        <f aca="false">Tasks[[#This Row],[_Res2Work]]*Tasks[[#This Row],[_LeafProgress]]</f>
        <v>0</v>
      </c>
      <c r="DU68" s="42" t="str">
        <f aca="false">IF(Tasks[[#This Row],[_Res3Text]]="","",IF(Tasks[[#This Row],[_Res3Row]]&gt;0,INDEX(res_Name,Tasks[[#This Row],[_Res3Row]]),TRIM(LEFT(Tasks[[#This Row],[_Res3Text]],FIND("[",Tasks[[#This Row],[_Res3Text]]&amp;"[")-1))))</f>
        <v/>
      </c>
      <c r="DV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8" s="42" t="n">
        <f aca="false">IF(OR(NOT(Tasks[[#This Row],[_IsLeaf]]=1),Tasks[[#This Row],[_Res3Row]]=0),0,N(Tasks[[#This Row],[_Days]])*HoursPerDay*IF(Tasks[[#This Row],[_Res3Units]]="",DefaultUnits,Tasks[[#This Row],[_Res3Units]]))</f>
        <v>0</v>
      </c>
      <c r="DX68" s="42" t="n">
        <f aca="false">IF(AND(AND(Tasks[[#This Row],[_IsLeaf]]=1,Tasks[[#This Row],[_LeafTotalWork]]&gt;0),Tasks[[#This Row],[_Res3Work]]&gt;0),Tasks[[#This Row],[_Res3Work]]/(Tasks[[#This Row],[_FinishWorkday]]-Tasks[[#This Row],[_StartWorkday]]+1),0)</f>
        <v>0</v>
      </c>
      <c r="DY68" s="42" t="n">
        <f aca="false">Tasks[[#This Row],[_Res3WorkPerWD]]*MAX(0,Tasks[[#This Row],[_StartWorkday]]-1)</f>
        <v>0</v>
      </c>
      <c r="DZ68" s="42" t="n">
        <f aca="false">Tasks[[#This Row],[_Res3Work]]*Tasks[[#This Row],[_LeafProgress]]</f>
        <v>0</v>
      </c>
      <c r="EA68" s="42" t="str">
        <f aca="false">IF(Tasks[[#This Row],[_Res4Text]]="","",IF(Tasks[[#This Row],[_Res4Row]]&gt;0,INDEX(res_Name,Tasks[[#This Row],[_Res4Row]]),TRIM(LEFT(Tasks[[#This Row],[_Res4Text]],FIND("[",Tasks[[#This Row],[_Res4Text]]&amp;"[")-1))))</f>
        <v/>
      </c>
      <c r="EB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8" s="42" t="n">
        <f aca="false">IF(OR(NOT(Tasks[[#This Row],[_IsLeaf]]=1),Tasks[[#This Row],[_Res4Row]]=0),0,N(Tasks[[#This Row],[_Days]])*HoursPerDay*IF(Tasks[[#This Row],[_Res4Units]]="",DefaultUnits,Tasks[[#This Row],[_Res4Units]]))</f>
        <v>0</v>
      </c>
      <c r="ED68" s="42" t="n">
        <f aca="false">IF(AND(AND(Tasks[[#This Row],[_IsLeaf]]=1,Tasks[[#This Row],[_LeafTotalWork]]&gt;0),Tasks[[#This Row],[_Res4Work]]&gt;0),Tasks[[#This Row],[_Res4Work]]/(Tasks[[#This Row],[_FinishWorkday]]-Tasks[[#This Row],[_StartWorkday]]+1),0)</f>
        <v>0</v>
      </c>
      <c r="EE68" s="42" t="n">
        <f aca="false">Tasks[[#This Row],[_Res4WorkPerWD]]*MAX(0,Tasks[[#This Row],[_StartWorkday]]-1)</f>
        <v>0</v>
      </c>
      <c r="EF68" s="42" t="n">
        <f aca="false">Tasks[[#This Row],[_Res4Work]]*Tasks[[#This Row],[_LeafProgress]]</f>
        <v>0</v>
      </c>
      <c r="EG68" s="42" t="n">
        <f aca="false">IF(ISNUMBER(Tasks[[#This Row],[% Complete]]),Tasks[[#This Row],[% Complete]],IF(Tasks[[#This Row],[Stage]]="",0,IFERROR(INDEX(stg_Pct,MATCH(Tasks[[#This Row],[Stage]],stg_Name,0)),0)))</f>
        <v>0</v>
      </c>
      <c r="EH68" s="42" t="n">
        <f aca="false">IF(NOT(Tasks[[#This Row],[_IsLeaf]]=1),0,IF(N(Tasks[[#This Row],[Actual Finish]])&gt;0,1,MIN(1,Tasks[[#This Row],[_Pct]])))</f>
        <v>0</v>
      </c>
      <c r="EI68" s="42" t="n">
        <f aca="false">IF(OR(NOT(Tasks[[#This Row],[_IsLeaf]]=1),Tasks[[#This Row],[_Res1Row]]=0),0,N(Tasks[[#This Row],[_Days]])*HoursPerDay*IF(Tasks[[#This Row],[_Units1]]="",DefaultUnits,Tasks[[#This Row],[_Units1]]))</f>
        <v>0</v>
      </c>
      <c r="EJ68" s="42" t="n">
        <f aca="false">Tasks[[#This Row],[_LeafWork]]+Tasks[[#This Row],[_Res2Work]]+Tasks[[#This Row],[_Res3Work]]+Tasks[[#This Row],[_Res4Work]]</f>
        <v>0</v>
      </c>
      <c r="EK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8" s="42" t="n">
        <f aca="false">IF(NOT(Tasks[[#This Row],[_IsLeaf]]=1),0,MAX(_xlfn.MAXIFS(Tasks[_Row],Tasks[_Pred1UID],Tasks[[#This Row],[UID]]),_xlfn.MAXIFS(Tasks[_Row],Tasks[_Pred2UID],Tasks[[#This Row],[UID]]),_xlfn.MAXIFS(Tasks[_Row],Tasks[_Pred3UID],Tasks[[#This Row],[UID]]),_xlfn.MAXIFS(Tasks[_Row],Tasks[_Pred4UID],Tasks[[#This Row],[UID]])))</f>
        <v>0</v>
      </c>
      <c r="ET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8" s="89" t="str">
        <f aca="false">IF(NOT(Tasks[[#This Row],[_IsLeaf]]=1),"",IF(N(Tasks[[#This Row],[_Days]])&lt;=0,Tasks[[#This Row],[_LeafLateFinish]],WORKDAY.INTL(Tasks[[#This Row],[_LeafLateFinish]],-(Tasks[[#This Row],[_Days]]-1),WorkWeek,Holidays)))</f>
        <v/>
      </c>
      <c r="EW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8" s="88" t="b">
        <f aca="false">AND(Tasks[[#This Row],[_IsLeaf]]=1,Tasks[[#This Row],[_LeafProgress]]&lt;1,N(Tasks[[#This Row],[_LeafTotalSlack]])&lt;=CriticalSlackDays)</f>
        <v>0</v>
      </c>
      <c r="EY68" s="42" t="n">
        <f aca="false">IF(AND(Tasks[[#This Row],[_IsLeaf]]=1,Tasks[[#This Row],[_ConstraintCode]]=1,Tasks[[#This Row],[Mode]]&lt;&gt;"Manual",N(Tasks[[#This Row],[Actual Start]])=0),MAX(0,N(Tasks[[#This Row],[Free Slack]])),0)</f>
        <v>0</v>
      </c>
      <c r="EZ68" s="89" t="str">
        <f aca="false">IF(NOT(Tasks[[#This Row],[_IsLeaf]]=1),"",IF(Tasks[[#This Row],[_AlapShift]]=0,Tasks[[#This Row],[_LeafCalcStart]],WORKDAY.INTL(Tasks[[#This Row],[_LeafCalcStart]],Tasks[[#This Row],[_AlapShift]],WorkWeek,Holidays)))</f>
        <v/>
      </c>
      <c r="FA68" s="89" t="str">
        <f aca="false">IF(NOT(Tasks[[#This Row],[_IsLeaf]]=1),"",IF(Tasks[[#This Row],[_AlapShift]]=0,Tasks[[#This Row],[_LeafCalcFinish]],WORKDAY.INTL(Tasks[[#This Row],[_LeafCalcFinish]],Tasks[[#This Row],[_AlapShift]],WorkWeek,Holidays)))</f>
        <v/>
      </c>
      <c r="FB68" s="89" t="str">
        <f aca="false">IF(NOT(Tasks[[#This Row],[_IsLeaf]]=1),"",IF(Tasks[[#This Row],[_AlapShift]]=0,Tasks[[#This Row],[_LeafFcstStart]],WORKDAY.INTL(Tasks[[#This Row],[_LeafFcstStart]],Tasks[[#This Row],[_AlapShift]],WorkWeek,Holidays)))</f>
        <v/>
      </c>
      <c r="FC68" s="89" t="str">
        <f aca="false">IF(NOT(Tasks[[#This Row],[_IsLeaf]]=1),"",IF(Tasks[[#This Row],[_AlapShift]]=0,Tasks[[#This Row],[_LeafFcstFinish]],WORKDAY.INTL(Tasks[[#This Row],[_LeafFcstFinish]],Tasks[[#This Row],[_AlapShift]],WorkWeek,Holidays)))</f>
        <v/>
      </c>
      <c r="FD68" s="89" t="str">
        <f aca="false">IF(Tasks[[#This Row],[Task Name]]="","",IF(Tasks[[#This Row],[_IsSummary]],MIN(INDEX(Tasks[_ShownCalcStart],Tasks[[#This Row],[_Row]]+1):INDEX(Tasks[_ShownCalcStart],Tasks[[#This Row],[_Row]]+Tasks[[#This Row],[_Descendants]])),Tasks[[#This Row],[_ShownCalcStart]]))</f>
        <v/>
      </c>
      <c r="FE68" s="89" t="str">
        <f aca="false">IF(Tasks[[#This Row],[Task Name]]="","",IF(Tasks[[#This Row],[_IsSummary]],MAX(INDEX(Tasks[_ShownCalcFinish],Tasks[[#This Row],[_Row]]+1):INDEX(Tasks[_ShownCalcFinish],Tasks[[#This Row],[_Row]]+Tasks[[#This Row],[_Descendants]])),Tasks[[#This Row],[_ShownCalcFinish]]))</f>
        <v/>
      </c>
      <c r="FF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8" s="42" t="n">
        <f aca="false">IF(AND(Tasks[[#This Row],[_IsLeaf]]=1,Tasks[[#This Row],[_LeafTotalWork]]&gt;0),NETWORKDAYS.INTL(ProjectStart,Tasks[[#This Row],[_ShownFcstStart]],WorkWeek,Holidays),0)</f>
        <v>0</v>
      </c>
      <c r="FS68" s="42" t="n">
        <f aca="false">IF(AND(Tasks[[#This Row],[_IsLeaf]]=1,Tasks[[#This Row],[_LeafTotalWork]]&gt;0),MAX(Tasks[[#This Row],[_StartWorkday]],NETWORKDAYS.INTL(ProjectStart,Tasks[[#This Row],[_ShownFcstFinish]],WorkWeek,Holidays)),0)</f>
        <v>0</v>
      </c>
      <c r="FT68" s="42" t="n">
        <f aca="false">IF(AND(Tasks[[#This Row],[_IsLeaf]]=1,Tasks[[#This Row],[_LeafTotalWork]]&gt;0),Tasks[[#This Row],[_LeafWork]]/(Tasks[[#This Row],[_FinishWorkday]]-Tasks[[#This Row],[_StartWorkday]]+1),0)</f>
        <v>0</v>
      </c>
      <c r="FU68" s="42" t="n">
        <f aca="false">Tasks[[#This Row],[_WorkPerWorkday]]*(Tasks[[#This Row],[_StartWorkday]]-1)</f>
        <v>-0</v>
      </c>
      <c r="FV68" s="42" t="n">
        <f aca="false">IF(Tasks[[#This Row],[_IsLeaf]]=1,MAX(N(Tasks[[#This Row],[_Days]]),0.1),0)</f>
        <v>0</v>
      </c>
      <c r="FW68" s="42" t="n">
        <f aca="false">Tasks[[#This Row],[_WeightDur]]*Tasks[[#This Row],[_LeafProgress]]</f>
        <v>0</v>
      </c>
      <c r="FX68" s="42" t="n">
        <f aca="false">Tasks[[#This Row],[_WeightDur]]*Tasks[[#This Row],[_PlannedPct]]</f>
        <v>0</v>
      </c>
      <c r="FY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8" s="42" t="str">
        <f aca="false">IF(AND(Tasks[[#This Row],[_IsLeaf]]=1,N(Tasks[[#This Row],[_Days]])=0,Tasks[[#This Row],[_LeafProgress]]&lt;1),Tasks[[#This Row],[_ShownFcstFinish]]+Tasks[[#This Row],[_Row]]/100000,"")</f>
        <v/>
      </c>
      <c r="GA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8" s="42" t="str">
        <f aca="false">IF(Tasks[[#This Row],[Task Name]]="","",LEFT(Tasks[[#This Row],[WBS]],FIND(".",Tasks[[#This Row],[WBS]]&amp;".")-1))</f>
        <v/>
      </c>
      <c r="GC68" s="42" t="str">
        <f aca="false">IF(AND(Tasks[[#This Row],[Task Name]]&lt;&gt;"",Tasks[[#This Row],[_Level]]=1),Tasks[[#This Row],[_Row]],"")</f>
        <v/>
      </c>
      <c r="GD68" s="42" t="str">
        <f aca="false">IF(AND(Tasks[[#This Row],[_IsLeaf]]=1,N(Tasks[[#This Row],[_Days]])=0),Tasks[[#This Row],[Planned Finish]]+Tasks[[#This Row],[_Row]]/100000,"")</f>
        <v/>
      </c>
      <c r="GE68" s="42" t="str">
        <f aca="false">IF(AND(Tasks[[#This Row],[_IsLeaf]]=1,Tasks[[#This Row],[_LeafProgress]]&lt;1,OR(N(Tasks[[#This Row],[Finish Var]])&gt;0,Tasks[[#This Row],[Status]]="Late Start")),MAX(0,Tasks[[#This Row],[Finish Var]])+1-Tasks[[#This Row],[_Row]]/1000000,"")</f>
        <v/>
      </c>
      <c r="GF68" s="42" t="str">
        <f aca="false">IF(AND(Tasks[[#This Row],[_IsLeaf]]=1,N(Tasks[[#This Row],[Actual Start]])=0,Tasks[[#This Row],[_ShownFcstStart]]&gt;=StatusDate,Tasks[[#This Row],[_ShownFcstStart]]&lt;=LookaheadEnd),Tasks[[#This Row],[_ShownFcstStart]]+Tasks[[#This Row],[_Row]]/100000,"")</f>
        <v/>
      </c>
      <c r="GG68" s="42" t="str">
        <f aca="false">IF(AND(Tasks[[#This Row],[_IsLeaf]]=1,Tasks[[#This Row],[_LeafProgress]]&lt;1,Tasks[[#This Row],[_ShownFcstFinish]]&gt;=StatusDate,Tasks[[#This Row],[_ShownFcstFinish]]&lt;=LookaheadEnd),Tasks[[#This Row],[_ShownFcstFinish]]+Tasks[[#This Row],[_Row]]/100000,"")</f>
        <v/>
      </c>
      <c r="GH68" s="42" t="str">
        <f aca="false">IF(Tasks[[#This Row],[_LeafCritical]],Tasks[[#This Row],[_ShownFcstStart]]+Tasks[[#This Row],[_Row]]/100000,"")</f>
        <v/>
      </c>
      <c r="GI68" s="42" t="n">
        <f aca="false">Tasks[[#This Row],[_LeafWork]]*Tasks[[#This Row],[_LeafProgress]]</f>
        <v>0</v>
      </c>
      <c r="GJ68" s="89" t="str">
        <f aca="false">IF(AND(Tasks[[#This Row],[_IsLeaf]]=1,Tasks[[#This Row],[_LeafProgress]]&gt;=1),IF(N(Tasks[[#This Row],[Actual Finish]])&gt;0,Tasks[[#This Row],[Actual Finish]],Tasks[[#This Row],[_ShownFcstFinish]]),"")</f>
        <v/>
      </c>
      <c r="GK68" s="42" t="n">
        <f aca="false">IF(Tasks[[#This Row],[_IsLeaf]]=1,N(Tasks[[#This Row],[Story Points]]),0)</f>
        <v>0</v>
      </c>
      <c r="GL68" s="42" t="str">
        <f aca="false">""</f>
        <v/>
      </c>
      <c r="GM68" s="88" t="b">
        <f aca="false">IF(Tasks[[#This Row],[Task Name]]="",FALSE(),AND(Tasks[[#This Row],[_IsLeaf]]=1,N(Tasks[[#This Row],[_Days]])=0))</f>
        <v>0</v>
      </c>
      <c r="GN68" s="89" t="n">
        <f aca="false">IF(Tasks[[#This Row],[Task Name]]="",0,IF(AND(Tasks[[#This Row],[_IsLeaf]]=1,NOT(Tasks[[#This Row],[_IsMilestone]]),N(Tasks[[#This Row],[Progress]])&gt;0),Tasks[[#This Row],[Start]],0))</f>
        <v>0</v>
      </c>
      <c r="GO68" s="89" t="n">
        <f aca="false">IF(Tasks[[#This Row],[_DoneFrom]]=0,0,IF(Tasks[[#This Row],[Progress]]&gt;=1,Tasks[[#This Row],[Finish]],MAX(Tasks[[#This Row],[_DoneFrom]],Tasks[[#This Row],[Start]]+ROUND((Tasks[[#This Row],[Finish]]-Tasks[[#This Row],[Start]]+1)*Tasks[[#This Row],[Progress]],0)-1)))</f>
        <v>0</v>
      </c>
      <c r="GP68" s="89" t="n">
        <f aca="false">IF(Tasks[[#This Row],[Task Name]]="",0,IF(OR(NOT(Tasks[[#This Row],[_IsLeaf]]=1),Tasks[[#This Row],[_IsMilestone]],N(Tasks[[#This Row],[Progress]])&gt;=1),0,IF(Tasks[[#This Row],[_DoneTo]]&gt;0,Tasks[[#This Row],[_DoneTo]]+1,Tasks[[#This Row],[Start]])))</f>
        <v>0</v>
      </c>
      <c r="GQ68" s="89" t="n">
        <f aca="false">IF(Tasks[[#This Row],[_RemFrom]]=0,0,Tasks[[#This Row],[Finish]])</f>
        <v>0</v>
      </c>
      <c r="GR68" s="88" t="b">
        <f aca="false">IF(Tasks[[#This Row],[Task Name]]="",FALSE(),OR(NOT(BaselineSet),N(Tasks[[#This Row],[Baseline Start]])&gt;0))</f>
        <v>0</v>
      </c>
      <c r="GS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8" s="90" t="str">
        <f aca="false">IF(Tasks[[#This Row],[_IsLeaf]]=1,Tasks[[#This Row],[_Row]],"")</f>
        <v/>
      </c>
      <c r="GW68" s="90" t="str">
        <f aca="false">IFERROR(INDEX(Tasks[UID],SMALL(Tasks[_PickKey],Tasks[[#This Row],[_Row]]))&amp;" "&amp;INDEX(Tasks[Task Name],SMALL(Tasks[_PickKey],Tasks[[#This Row],[_Row]])),"")</f>
        <v/>
      </c>
      <c r="GX68" s="42" t="str">
        <f aca="false">IF(Tasks[[#This Row],[Task Name]]="","",IF(Tasks[[#This Row],[_IsSummary]],NETWORKDAYS.INTL(Tasks[[#This Row],[Start]],Tasks[[#This Row],[Finish]],WorkWeek,Holidays),N(Tasks[[#This Row],[_Days]])))</f>
        <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3"/>
      <c r="U69" s="23"/>
      <c r="V69" s="83"/>
      <c r="W69" s="23"/>
      <c r="X69" s="83"/>
      <c r="Y69" s="23"/>
      <c r="Z69" s="83"/>
      <c r="AA69" s="23"/>
      <c r="AB69" s="23"/>
      <c r="AC69" s="7"/>
      <c r="AD69" s="7"/>
      <c r="AE69" s="62" t="str">
        <f aca="false">IF(Tasks[[#This Row],[Task Name]]="","",IF(Tasks[[#This Row],[_IsSummary]],MIN(INDEX(Tasks[_ShownFcstStart],Tasks[[#This Row],[_Row]]+1):INDEX(Tasks[_ShownFcstStart],Tasks[[#This Row],[_Row]]+Tasks[[#This Row],[_Descendants]])),Tasks[[#This Row],[_ShownFcstStart]]))</f>
        <v/>
      </c>
      <c r="AF69" s="62"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9" s="7"/>
      <c r="AK69" s="22"/>
      <c r="AL69" s="23"/>
      <c r="AM69" s="7"/>
      <c r="AN69" s="46"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2" t="str">
        <f aca="false">IF(Tasks[[#This Row],[Task Name]]="","",IF(N(Tasks[[#This Row],[Baseline Start]])&gt;0,Tasks[[#This Row],[Baseline Start]],Tasks[[#This Row],[_CalcStart]]))</f>
        <v/>
      </c>
      <c r="AR69" s="62" t="str">
        <f aca="false">IF(Tasks[[#This Row],[Task Name]]="","",IF(N(Tasks[[#This Row],[Baseline Finish]])&gt;0,Tasks[[#This Row],[Baseline Finish]],Tasks[[#This Row],[_CalcFinish]]))</f>
        <v/>
      </c>
      <c r="AS69" s="46" t="str">
        <f aca="false">IF(Tasks[[#This Row],[Task Name]]="","",IF(Tasks[[#This Row],[Start]]&gt;=Tasks[[#This Row],[Planned Start]],NETWORKDAYS.INTL(Tasks[[#This Row],[Planned Start]],Tasks[[#This Row],[Start]],WorkWeek,Holidays)-1,1-NETWORKDAYS.INTL(Tasks[[#This Row],[Start]],Tasks[[#This Row],[Planned Start]],WorkWeek,Holidays)))</f>
        <v/>
      </c>
      <c r="AT69" s="62" t="str">
        <f aca="false">IF(Tasks[[#This Row],[Task Name]]="","",IF(Tasks[[#This Row],[_IsSummary]],MIN(INDEX(Tasks[_LeafLateStart],Tasks[[#This Row],[_Row]]+1):INDEX(Tasks[_LeafLateStart],Tasks[[#This Row],[_Row]]+Tasks[[#This Row],[_Descendants]])),Tasks[[#This Row],[_LeafLateStart]]))</f>
        <v/>
      </c>
      <c r="AU69" s="62" t="str">
        <f aca="false">IF(Tasks[[#This Row],[Task Name]]="","",IF(Tasks[[#This Row],[_IsSummary]],MAX(INDEX(Tasks[_LeafLateFinish],Tasks[[#This Row],[_Row]]+1):INDEX(Tasks[_LeafLateFinish],Tasks[[#This Row],[_Row]]+Tasks[[#This Row],[_Descendants]])),Tasks[[#This Row],[_LeafLateFinish]]))</f>
        <v/>
      </c>
      <c r="AV69" s="46"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4"/>
      <c r="BA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5"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6"/>
      <c r="BJ69" s="22"/>
      <c r="BK69" s="46" t="str">
        <f aca="false">IF(OR(Tasks[[#This Row],[Task Name]]="",Tasks[[#This Row],[Baseline Duration]]=""),"",Tasks[[#This Row],[_SpanDays]]-N(Tasks[[#This Row],[Baseline Duration]]))</f>
        <v/>
      </c>
      <c r="BL69" s="85" t="str">
        <f aca="false">IF(OR(Tasks[[#This Row],[Task Name]]="",Tasks[[#This Row],[Baseline Work]]=""),"",Tasks[[#This Row],[Work]]-N(Tasks[[#This Row],[Baseline Work]]))</f>
        <v/>
      </c>
      <c r="BM69" s="62" t="str">
        <f aca="false">IF(Tasks[[#This Row],[Task Name]]="","",IF(OR(TakeBaseline="Yes",N(Tasks[[#This Row],[Baseline Start]])=0),Tasks[[#This Row],[Start]],Tasks[[#This Row],[Baseline Start]]))</f>
        <v/>
      </c>
      <c r="BN69" s="62"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5" t="str">
        <f aca="false">IF(Tasks[[#This Row],[Task Name]]="","",IF(OR(TakeBaseline="Yes",N(Tasks[[#This Row],[Baseline Work]])=0),Tasks[[#This Row],[Work]],Tasks[[#This Row],[Baseline Work]]))</f>
        <v/>
      </c>
      <c r="BQ69" s="7"/>
      <c r="BR69" s="7"/>
      <c r="BS69" s="22"/>
      <c r="BT69" s="87"/>
      <c r="BU69" s="42" t="str">
        <f aca="false">IF(Tasks[[#This Row],[Task Name]]="","",MAX(1,N(Tasks[[#This Row],[Level]])))</f>
        <v/>
      </c>
      <c r="BV69" s="42" t="n">
        <f aca="false">ROW()-ROW(Tasks[[#Headers],[ID]])</f>
        <v>64</v>
      </c>
      <c r="BW69" s="42" t="n">
        <f aca="false">IF(OR(Tasks[[#This Row],[Task Name]]="",Tasks[[#This Row],[_Level]]&lt;=1),0,IFERROR(LOOKUP(2,1/(Tasks[[#Headers],[_Level]]:Tasks[[#This Row],[_Level]]=Tasks[[#This Row],[_Level]]-1),ROW(Tasks[[#Headers],[_Level]]:Tasks[[#This Row],[_Level]])),0))</f>
        <v>0</v>
      </c>
      <c r="BX69" s="42" t="n">
        <f aca="false">IFERROR(N(INDEX(Tasks[_Level],Tasks[[#This Row],[_Row]]+1)),0)</f>
        <v>0</v>
      </c>
      <c r="BY69" s="88" t="b">
        <f aca="false">AND(Tasks[[#This Row],[Task Name]]&lt;&gt;"",Tasks[[#This Row],[_NextLevel]]&gt;Tasks[[#This Row],[_Level]])</f>
        <v>0</v>
      </c>
      <c r="BZ69" s="42" t="n">
        <f aca="false">IF(Tasks[[#This Row],[_IsSummary]],COUNTIF(Tasks[WBS],Tasks[[#This Row],[WBS]]&amp;".*"),0)</f>
        <v>0</v>
      </c>
      <c r="CA69" s="42" t="n">
        <f aca="false">IF(AND(Tasks[[#This Row],[Task Name]]&lt;&gt;"",NOT(Tasks[[#This Row],[_IsSummary]])),1,0)</f>
        <v>0</v>
      </c>
      <c r="CB69" s="42" t="n">
        <f aca="false">IF(N(Tasks[[#This Row],[_Pred1UID]])=0,0,IFERROR(MATCH(Tasks[[#This Row],[_Pred1UID]],Tasks[UID],0),-1))</f>
        <v>0</v>
      </c>
      <c r="CC69" s="42" t="n">
        <f aca="false">IF(N(Tasks[[#This Row],[_Pred2UID]])=0,0,IFERROR(MATCH(Tasks[[#This Row],[_Pred2UID]],Tasks[UID],0),-1))</f>
        <v>0</v>
      </c>
      <c r="CD69" s="42" t="n">
        <f aca="false">IF(N(Tasks[[#This Row],[_Pred3UID]])=0,0,IFERROR(MATCH(Tasks[[#This Row],[_Pred3UID]],Tasks[UID],0),-1))</f>
        <v>0</v>
      </c>
      <c r="CE69" s="42" t="n">
        <f aca="false">IF(N(Tasks[[#This Row],[_Pred4UID]])=0,0,IFERROR(MATCH(Tasks[[#This Row],[_Pred4UID]],Tasks[UID],0),-1))</f>
        <v>0</v>
      </c>
      <c r="CF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9" s="89" t="n">
        <f aca="false">IF(OR(Tasks[[#This Row],[_ConstraintCode]]=2,Tasks[[#This Row],[_ConstraintCode]]=3,Tasks[[#This Row],[_ConstraintCode]]=4,Tasks[[#This Row],[_ConstraintCode]]=6),Tasks[[#This Row],[_ConstraintStart]],0)</f>
        <v>0</v>
      </c>
      <c r="CI69" s="89" t="n">
        <f aca="false">IF(OR(Tasks[[#This Row],[_ConstraintCode]]=2,Tasks[[#This Row],[_ConstraintCode]]=3,Tasks[[#This Row],[_ConstraintCode]]=5,Tasks[[#This Row],[_ConstraintCode]]=7),Tasks[[#This Row],[_ConstraintStart]],2958465)</f>
        <v>2958465</v>
      </c>
      <c r="CJ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9" s="89" t="str">
        <f aca="false">IF(NOT(Tasks[[#This Row],[_IsLeaf]]=1),"",IF(N(Tasks[[#This Row],[_Days]])&lt;=0,Tasks[[#This Row],[_LeafCalcStart]],WORKDAY.INTL(Tasks[[#This Row],[_LeafCalcStart]],Tasks[[#This Row],[_Days]]-1,WorkWeek,Holidays)))</f>
        <v/>
      </c>
      <c r="CL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9" s="42" t="str">
        <f aca="false">IF(Tasks[[#This Row],[_Predecessors]]="","",TRIM(MID(SUBSTITUTE(SUBSTITUTE(SUBSTITUTE(UPPER(Tasks[[#This Row],[_Predecessors]]),";",",")," ",""),",",REPT(" ",99)),1,99)))</f>
        <v/>
      </c>
      <c r="CO69" s="42" t="str">
        <f aca="false">IF(Tasks[[#This Row],[_Pred1Text]]="","",IFERROR(VALUE(LEFT(Tasks[[#This Row],[_Pred1Text]],MIN(FIND("F",Tasks[[#This Row],[_Pred1Text]]&amp;"F"),FIND("S",Tasks[[#This Row],[_Pred1Text]]&amp;"S"),FIND("+",Tasks[[#This Row],[_Pred1Text]]&amp;"+"),FIND("-",Tasks[[#This Row],[_Pred1Text]]&amp;"-"))-1)),""))</f>
        <v/>
      </c>
      <c r="CP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9" s="42" t="str">
        <f aca="false">IF(Tasks[[#This Row],[_Pred1Text]]="","",TRIM(MID(SUBSTITUTE(SUBSTITUTE(SUBSTITUTE(UPPER(Tasks[[#This Row],[_Predecessors]]),";",",")," ",""),",",REPT(" ",99)),100,99)))</f>
        <v/>
      </c>
      <c r="CS69" s="42" t="str">
        <f aca="false">IF(Tasks[[#This Row],[_Pred2Text]]="","",IFERROR(VALUE(LEFT(Tasks[[#This Row],[_Pred2Text]],MIN(FIND("F",Tasks[[#This Row],[_Pred2Text]]&amp;"F"),FIND("S",Tasks[[#This Row],[_Pred2Text]]&amp;"S"),FIND("+",Tasks[[#This Row],[_Pred2Text]]&amp;"+"),FIND("-",Tasks[[#This Row],[_Pred2Text]]&amp;"-"))-1)),""))</f>
        <v/>
      </c>
      <c r="CT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9" s="42" t="str">
        <f aca="false">IF(Tasks[[#This Row],[_Pred2Text]]="","",TRIM(MID(SUBSTITUTE(SUBSTITUTE(SUBSTITUTE(UPPER(Tasks[[#This Row],[_Predecessors]]),";",",")," ",""),",",REPT(" ",99)),199,99)))</f>
        <v/>
      </c>
      <c r="CW69" s="42" t="str">
        <f aca="false">IF(Tasks[[#This Row],[_Pred3Text]]="","",IFERROR(VALUE(LEFT(Tasks[[#This Row],[_Pred3Text]],MIN(FIND("F",Tasks[[#This Row],[_Pred3Text]]&amp;"F"),FIND("S",Tasks[[#This Row],[_Pred3Text]]&amp;"S"),FIND("+",Tasks[[#This Row],[_Pred3Text]]&amp;"+"),FIND("-",Tasks[[#This Row],[_Pred3Text]]&amp;"-"))-1)),""))</f>
        <v/>
      </c>
      <c r="CX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9" s="42" t="str">
        <f aca="false">IF(Tasks[[#This Row],[_Pred3Text]]="","",TRIM(MID(SUBSTITUTE(SUBSTITUTE(SUBSTITUTE(UPPER(Tasks[[#This Row],[_Predecessors]]),";",",")," ",""),",",REPT(" ",99)),298,99)))</f>
        <v/>
      </c>
      <c r="DA69" s="42" t="str">
        <f aca="false">IF(Tasks[[#This Row],[_Pred4Text]]="","",IFERROR(VALUE(LEFT(Tasks[[#This Row],[_Pred4Text]],MIN(FIND("F",Tasks[[#This Row],[_Pred4Text]]&amp;"F"),FIND("S",Tasks[[#This Row],[_Pred4Text]]&amp;"S"),FIND("+",Tasks[[#This Row],[_Pred4Text]]&amp;"+"),FIND("-",Tasks[[#This Row],[_Pred4Text]]&amp;"-"))-1)),""))</f>
        <v/>
      </c>
      <c r="DB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9" s="42" t="str">
        <f aca="false">IF(OR(Tasks[[#This Row],[Task Name]]="",Tasks[[#This Row],[_Resources]]=""),"",TRIM(MID(SUBSTITUTE(Tasks[[#This Row],[_Resources]],",",REPT(" ",99)),1,99)))</f>
        <v/>
      </c>
      <c r="DE69" s="42" t="str">
        <f aca="false">IF(Tasks[[#This Row],[_Res1Text]]="","",TRIM(MID(SUBSTITUTE(Tasks[[#This Row],[_Resources]],",",REPT(" ",99)),100,99)))</f>
        <v/>
      </c>
      <c r="DF69" s="42" t="str">
        <f aca="false">IF(Tasks[[#This Row],[_Res2Text]]="","",TRIM(MID(SUBSTITUTE(Tasks[[#This Row],[_Resources]],",",REPT(" ",99)),199,99)))</f>
        <v/>
      </c>
      <c r="DG69" s="42" t="str">
        <f aca="false">IF(Tasks[[#This Row],[_Res3Text]]="","",TRIM(MID(SUBSTITUTE(Tasks[[#This Row],[_Resources]],",",REPT(" ",99)),298,99)))</f>
        <v/>
      </c>
      <c r="DH69" s="42" t="n">
        <f aca="false">IF(Tasks[[#This Row],[_Res1Text]]="",0,IFERROR(MATCH(TRIM(LEFT(Tasks[[#This Row],[_Res1Text]],FIND("[",Tasks[[#This Row],[_Res1Text]]&amp;"[")-1)),res_Name,0),IFERROR(MATCH(TRIM(LEFT(Tasks[[#This Row],[_Res1Text]],FIND("[",Tasks[[#This Row],[_Res1Text]]&amp;"[")-1)),res_Initials,0),0)))</f>
        <v>0</v>
      </c>
      <c r="DI69" s="42" t="n">
        <f aca="false">IF(Tasks[[#This Row],[_Res2Text]]="",0,IFERROR(MATCH(TRIM(LEFT(Tasks[[#This Row],[_Res2Text]],FIND("[",Tasks[[#This Row],[_Res2Text]]&amp;"[")-1)),res_Name,0),IFERROR(MATCH(TRIM(LEFT(Tasks[[#This Row],[_Res2Text]],FIND("[",Tasks[[#This Row],[_Res2Text]]&amp;"[")-1)),res_Initials,0),0)))</f>
        <v>0</v>
      </c>
      <c r="DJ69" s="42" t="n">
        <f aca="false">IF(Tasks[[#This Row],[_Res3Text]]="",0,IFERROR(MATCH(TRIM(LEFT(Tasks[[#This Row],[_Res3Text]],FIND("[",Tasks[[#This Row],[_Res3Text]]&amp;"[")-1)),res_Name,0),IFERROR(MATCH(TRIM(LEFT(Tasks[[#This Row],[_Res3Text]],FIND("[",Tasks[[#This Row],[_Res3Text]]&amp;"[")-1)),res_Initials,0),0)))</f>
        <v>0</v>
      </c>
      <c r="DK69" s="42" t="n">
        <f aca="false">IF(Tasks[[#This Row],[_Res4Text]]="",0,IFERROR(MATCH(TRIM(LEFT(Tasks[[#This Row],[_Res4Text]],FIND("[",Tasks[[#This Row],[_Res4Text]]&amp;"[")-1)),res_Name,0),IFERROR(MATCH(TRIM(LEFT(Tasks[[#This Row],[_Res4Text]],FIND("[",Tasks[[#This Row],[_Res4Text]]&amp;"[")-1)),res_Initials,0),0)))</f>
        <v>0</v>
      </c>
      <c r="DL69" s="42" t="str">
        <f aca="false">IF(Tasks[[#This Row],[_Res1Text]]="","",IF(Tasks[[#This Row],[_Res1Row]]&gt;0,INDEX(res_Name,Tasks[[#This Row],[_Res1Row]]),TRIM(LEFT(Tasks[[#This Row],[_Res1Text]],FIND("[",Tasks[[#This Row],[_Res1Text]]&amp;"[")-1))))</f>
        <v/>
      </c>
      <c r="DM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9" s="42" t="n">
        <f aca="false">IF(NOT(Tasks[[#This Row],[_IsLeaf]]=1),0,(Tasks[[#This Row],[_Resource1]]&lt;&gt;"")+(Tasks[[#This Row],[_Res2]]&lt;&gt;"")+(Tasks[[#This Row],[_Res3]]&lt;&gt;"")+(Tasks[[#This Row],[_Res4]]&lt;&gt;""))</f>
        <v>0</v>
      </c>
      <c r="DO69" s="42" t="str">
        <f aca="false">IF(Tasks[[#This Row],[_Res2Text]]="","",IF(Tasks[[#This Row],[_Res2Row]]&gt;0,INDEX(res_Name,Tasks[[#This Row],[_Res2Row]]),TRIM(LEFT(Tasks[[#This Row],[_Res2Text]],FIND("[",Tasks[[#This Row],[_Res2Text]]&amp;"[")-1))))</f>
        <v/>
      </c>
      <c r="DP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9" s="42" t="n">
        <f aca="false">IF(OR(NOT(Tasks[[#This Row],[_IsLeaf]]=1),Tasks[[#This Row],[_Res2Row]]=0),0,N(Tasks[[#This Row],[_Days]])*HoursPerDay*IF(Tasks[[#This Row],[_Res2Units]]="",DefaultUnits,Tasks[[#This Row],[_Res2Units]]))</f>
        <v>0</v>
      </c>
      <c r="DR69" s="42" t="n">
        <f aca="false">IF(AND(AND(Tasks[[#This Row],[_IsLeaf]]=1,Tasks[[#This Row],[_LeafTotalWork]]&gt;0),Tasks[[#This Row],[_Res2Work]]&gt;0),Tasks[[#This Row],[_Res2Work]]/(Tasks[[#This Row],[_FinishWorkday]]-Tasks[[#This Row],[_StartWorkday]]+1),0)</f>
        <v>0</v>
      </c>
      <c r="DS69" s="42" t="n">
        <f aca="false">Tasks[[#This Row],[_Res2WorkPerWD]]*MAX(0,Tasks[[#This Row],[_StartWorkday]]-1)</f>
        <v>0</v>
      </c>
      <c r="DT69" s="42" t="n">
        <f aca="false">Tasks[[#This Row],[_Res2Work]]*Tasks[[#This Row],[_LeafProgress]]</f>
        <v>0</v>
      </c>
      <c r="DU69" s="42" t="str">
        <f aca="false">IF(Tasks[[#This Row],[_Res3Text]]="","",IF(Tasks[[#This Row],[_Res3Row]]&gt;0,INDEX(res_Name,Tasks[[#This Row],[_Res3Row]]),TRIM(LEFT(Tasks[[#This Row],[_Res3Text]],FIND("[",Tasks[[#This Row],[_Res3Text]]&amp;"[")-1))))</f>
        <v/>
      </c>
      <c r="DV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9" s="42" t="n">
        <f aca="false">IF(OR(NOT(Tasks[[#This Row],[_IsLeaf]]=1),Tasks[[#This Row],[_Res3Row]]=0),0,N(Tasks[[#This Row],[_Days]])*HoursPerDay*IF(Tasks[[#This Row],[_Res3Units]]="",DefaultUnits,Tasks[[#This Row],[_Res3Units]]))</f>
        <v>0</v>
      </c>
      <c r="DX69" s="42" t="n">
        <f aca="false">IF(AND(AND(Tasks[[#This Row],[_IsLeaf]]=1,Tasks[[#This Row],[_LeafTotalWork]]&gt;0),Tasks[[#This Row],[_Res3Work]]&gt;0),Tasks[[#This Row],[_Res3Work]]/(Tasks[[#This Row],[_FinishWorkday]]-Tasks[[#This Row],[_StartWorkday]]+1),0)</f>
        <v>0</v>
      </c>
      <c r="DY69" s="42" t="n">
        <f aca="false">Tasks[[#This Row],[_Res3WorkPerWD]]*MAX(0,Tasks[[#This Row],[_StartWorkday]]-1)</f>
        <v>0</v>
      </c>
      <c r="DZ69" s="42" t="n">
        <f aca="false">Tasks[[#This Row],[_Res3Work]]*Tasks[[#This Row],[_LeafProgress]]</f>
        <v>0</v>
      </c>
      <c r="EA69" s="42" t="str">
        <f aca="false">IF(Tasks[[#This Row],[_Res4Text]]="","",IF(Tasks[[#This Row],[_Res4Row]]&gt;0,INDEX(res_Name,Tasks[[#This Row],[_Res4Row]]),TRIM(LEFT(Tasks[[#This Row],[_Res4Text]],FIND("[",Tasks[[#This Row],[_Res4Text]]&amp;"[")-1))))</f>
        <v/>
      </c>
      <c r="EB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9" s="42" t="n">
        <f aca="false">IF(OR(NOT(Tasks[[#This Row],[_IsLeaf]]=1),Tasks[[#This Row],[_Res4Row]]=0),0,N(Tasks[[#This Row],[_Days]])*HoursPerDay*IF(Tasks[[#This Row],[_Res4Units]]="",DefaultUnits,Tasks[[#This Row],[_Res4Units]]))</f>
        <v>0</v>
      </c>
      <c r="ED69" s="42" t="n">
        <f aca="false">IF(AND(AND(Tasks[[#This Row],[_IsLeaf]]=1,Tasks[[#This Row],[_LeafTotalWork]]&gt;0),Tasks[[#This Row],[_Res4Work]]&gt;0),Tasks[[#This Row],[_Res4Work]]/(Tasks[[#This Row],[_FinishWorkday]]-Tasks[[#This Row],[_StartWorkday]]+1),0)</f>
        <v>0</v>
      </c>
      <c r="EE69" s="42" t="n">
        <f aca="false">Tasks[[#This Row],[_Res4WorkPerWD]]*MAX(0,Tasks[[#This Row],[_StartWorkday]]-1)</f>
        <v>0</v>
      </c>
      <c r="EF69" s="42" t="n">
        <f aca="false">Tasks[[#This Row],[_Res4Work]]*Tasks[[#This Row],[_LeafProgress]]</f>
        <v>0</v>
      </c>
      <c r="EG69" s="42" t="n">
        <f aca="false">IF(ISNUMBER(Tasks[[#This Row],[% Complete]]),Tasks[[#This Row],[% Complete]],IF(Tasks[[#This Row],[Stage]]="",0,IFERROR(INDEX(stg_Pct,MATCH(Tasks[[#This Row],[Stage]],stg_Name,0)),0)))</f>
        <v>0</v>
      </c>
      <c r="EH69" s="42" t="n">
        <f aca="false">IF(NOT(Tasks[[#This Row],[_IsLeaf]]=1),0,IF(N(Tasks[[#This Row],[Actual Finish]])&gt;0,1,MIN(1,Tasks[[#This Row],[_Pct]])))</f>
        <v>0</v>
      </c>
      <c r="EI69" s="42" t="n">
        <f aca="false">IF(OR(NOT(Tasks[[#This Row],[_IsLeaf]]=1),Tasks[[#This Row],[_Res1Row]]=0),0,N(Tasks[[#This Row],[_Days]])*HoursPerDay*IF(Tasks[[#This Row],[_Units1]]="",DefaultUnits,Tasks[[#This Row],[_Units1]]))</f>
        <v>0</v>
      </c>
      <c r="EJ69" s="42" t="n">
        <f aca="false">Tasks[[#This Row],[_LeafWork]]+Tasks[[#This Row],[_Res2Work]]+Tasks[[#This Row],[_Res3Work]]+Tasks[[#This Row],[_Res4Work]]</f>
        <v>0</v>
      </c>
      <c r="EK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9" s="42" t="n">
        <f aca="false">IF(NOT(Tasks[[#This Row],[_IsLeaf]]=1),0,MAX(_xlfn.MAXIFS(Tasks[_Row],Tasks[_Pred1UID],Tasks[[#This Row],[UID]]),_xlfn.MAXIFS(Tasks[_Row],Tasks[_Pred2UID],Tasks[[#This Row],[UID]]),_xlfn.MAXIFS(Tasks[_Row],Tasks[_Pred3UID],Tasks[[#This Row],[UID]]),_xlfn.MAXIFS(Tasks[_Row],Tasks[_Pred4UID],Tasks[[#This Row],[UID]])))</f>
        <v>0</v>
      </c>
      <c r="ET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9" s="89" t="str">
        <f aca="false">IF(NOT(Tasks[[#This Row],[_IsLeaf]]=1),"",IF(N(Tasks[[#This Row],[_Days]])&lt;=0,Tasks[[#This Row],[_LeafLateFinish]],WORKDAY.INTL(Tasks[[#This Row],[_LeafLateFinish]],-(Tasks[[#This Row],[_Days]]-1),WorkWeek,Holidays)))</f>
        <v/>
      </c>
      <c r="EW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9" s="88" t="b">
        <f aca="false">AND(Tasks[[#This Row],[_IsLeaf]]=1,Tasks[[#This Row],[_LeafProgress]]&lt;1,N(Tasks[[#This Row],[_LeafTotalSlack]])&lt;=CriticalSlackDays)</f>
        <v>0</v>
      </c>
      <c r="EY69" s="42" t="n">
        <f aca="false">IF(AND(Tasks[[#This Row],[_IsLeaf]]=1,Tasks[[#This Row],[_ConstraintCode]]=1,Tasks[[#This Row],[Mode]]&lt;&gt;"Manual",N(Tasks[[#This Row],[Actual Start]])=0),MAX(0,N(Tasks[[#This Row],[Free Slack]])),0)</f>
        <v>0</v>
      </c>
      <c r="EZ69" s="89" t="str">
        <f aca="false">IF(NOT(Tasks[[#This Row],[_IsLeaf]]=1),"",IF(Tasks[[#This Row],[_AlapShift]]=0,Tasks[[#This Row],[_LeafCalcStart]],WORKDAY.INTL(Tasks[[#This Row],[_LeafCalcStart]],Tasks[[#This Row],[_AlapShift]],WorkWeek,Holidays)))</f>
        <v/>
      </c>
      <c r="FA69" s="89" t="str">
        <f aca="false">IF(NOT(Tasks[[#This Row],[_IsLeaf]]=1),"",IF(Tasks[[#This Row],[_AlapShift]]=0,Tasks[[#This Row],[_LeafCalcFinish]],WORKDAY.INTL(Tasks[[#This Row],[_LeafCalcFinish]],Tasks[[#This Row],[_AlapShift]],WorkWeek,Holidays)))</f>
        <v/>
      </c>
      <c r="FB69" s="89" t="str">
        <f aca="false">IF(NOT(Tasks[[#This Row],[_IsLeaf]]=1),"",IF(Tasks[[#This Row],[_AlapShift]]=0,Tasks[[#This Row],[_LeafFcstStart]],WORKDAY.INTL(Tasks[[#This Row],[_LeafFcstStart]],Tasks[[#This Row],[_AlapShift]],WorkWeek,Holidays)))</f>
        <v/>
      </c>
      <c r="FC69" s="89" t="str">
        <f aca="false">IF(NOT(Tasks[[#This Row],[_IsLeaf]]=1),"",IF(Tasks[[#This Row],[_AlapShift]]=0,Tasks[[#This Row],[_LeafFcstFinish]],WORKDAY.INTL(Tasks[[#This Row],[_LeafFcstFinish]],Tasks[[#This Row],[_AlapShift]],WorkWeek,Holidays)))</f>
        <v/>
      </c>
      <c r="FD69" s="89" t="str">
        <f aca="false">IF(Tasks[[#This Row],[Task Name]]="","",IF(Tasks[[#This Row],[_IsSummary]],MIN(INDEX(Tasks[_ShownCalcStart],Tasks[[#This Row],[_Row]]+1):INDEX(Tasks[_ShownCalcStart],Tasks[[#This Row],[_Row]]+Tasks[[#This Row],[_Descendants]])),Tasks[[#This Row],[_ShownCalcStart]]))</f>
        <v/>
      </c>
      <c r="FE69" s="89" t="str">
        <f aca="false">IF(Tasks[[#This Row],[Task Name]]="","",IF(Tasks[[#This Row],[_IsSummary]],MAX(INDEX(Tasks[_ShownCalcFinish],Tasks[[#This Row],[_Row]]+1):INDEX(Tasks[_ShownCalcFinish],Tasks[[#This Row],[_Row]]+Tasks[[#This Row],[_Descendants]])),Tasks[[#This Row],[_ShownCalcFinish]]))</f>
        <v/>
      </c>
      <c r="FF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9" s="42" t="n">
        <f aca="false">IF(AND(Tasks[[#This Row],[_IsLeaf]]=1,Tasks[[#This Row],[_LeafTotalWork]]&gt;0),NETWORKDAYS.INTL(ProjectStart,Tasks[[#This Row],[_ShownFcstStart]],WorkWeek,Holidays),0)</f>
        <v>0</v>
      </c>
      <c r="FS69" s="42" t="n">
        <f aca="false">IF(AND(Tasks[[#This Row],[_IsLeaf]]=1,Tasks[[#This Row],[_LeafTotalWork]]&gt;0),MAX(Tasks[[#This Row],[_StartWorkday]],NETWORKDAYS.INTL(ProjectStart,Tasks[[#This Row],[_ShownFcstFinish]],WorkWeek,Holidays)),0)</f>
        <v>0</v>
      </c>
      <c r="FT69" s="42" t="n">
        <f aca="false">IF(AND(Tasks[[#This Row],[_IsLeaf]]=1,Tasks[[#This Row],[_LeafTotalWork]]&gt;0),Tasks[[#This Row],[_LeafWork]]/(Tasks[[#This Row],[_FinishWorkday]]-Tasks[[#This Row],[_StartWorkday]]+1),0)</f>
        <v>0</v>
      </c>
      <c r="FU69" s="42" t="n">
        <f aca="false">Tasks[[#This Row],[_WorkPerWorkday]]*(Tasks[[#This Row],[_StartWorkday]]-1)</f>
        <v>-0</v>
      </c>
      <c r="FV69" s="42" t="n">
        <f aca="false">IF(Tasks[[#This Row],[_IsLeaf]]=1,MAX(N(Tasks[[#This Row],[_Days]]),0.1),0)</f>
        <v>0</v>
      </c>
      <c r="FW69" s="42" t="n">
        <f aca="false">Tasks[[#This Row],[_WeightDur]]*Tasks[[#This Row],[_LeafProgress]]</f>
        <v>0</v>
      </c>
      <c r="FX69" s="42" t="n">
        <f aca="false">Tasks[[#This Row],[_WeightDur]]*Tasks[[#This Row],[_PlannedPct]]</f>
        <v>0</v>
      </c>
      <c r="FY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9" s="42" t="str">
        <f aca="false">IF(AND(Tasks[[#This Row],[_IsLeaf]]=1,N(Tasks[[#This Row],[_Days]])=0,Tasks[[#This Row],[_LeafProgress]]&lt;1),Tasks[[#This Row],[_ShownFcstFinish]]+Tasks[[#This Row],[_Row]]/100000,"")</f>
        <v/>
      </c>
      <c r="GA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9" s="42" t="str">
        <f aca="false">IF(Tasks[[#This Row],[Task Name]]="","",LEFT(Tasks[[#This Row],[WBS]],FIND(".",Tasks[[#This Row],[WBS]]&amp;".")-1))</f>
        <v/>
      </c>
      <c r="GC69" s="42" t="str">
        <f aca="false">IF(AND(Tasks[[#This Row],[Task Name]]&lt;&gt;"",Tasks[[#This Row],[_Level]]=1),Tasks[[#This Row],[_Row]],"")</f>
        <v/>
      </c>
      <c r="GD69" s="42" t="str">
        <f aca="false">IF(AND(Tasks[[#This Row],[_IsLeaf]]=1,N(Tasks[[#This Row],[_Days]])=0),Tasks[[#This Row],[Planned Finish]]+Tasks[[#This Row],[_Row]]/100000,"")</f>
        <v/>
      </c>
      <c r="GE69" s="42" t="str">
        <f aca="false">IF(AND(Tasks[[#This Row],[_IsLeaf]]=1,Tasks[[#This Row],[_LeafProgress]]&lt;1,OR(N(Tasks[[#This Row],[Finish Var]])&gt;0,Tasks[[#This Row],[Status]]="Late Start")),MAX(0,Tasks[[#This Row],[Finish Var]])+1-Tasks[[#This Row],[_Row]]/1000000,"")</f>
        <v/>
      </c>
      <c r="GF69" s="42" t="str">
        <f aca="false">IF(AND(Tasks[[#This Row],[_IsLeaf]]=1,N(Tasks[[#This Row],[Actual Start]])=0,Tasks[[#This Row],[_ShownFcstStart]]&gt;=StatusDate,Tasks[[#This Row],[_ShownFcstStart]]&lt;=LookaheadEnd),Tasks[[#This Row],[_ShownFcstStart]]+Tasks[[#This Row],[_Row]]/100000,"")</f>
        <v/>
      </c>
      <c r="GG69" s="42" t="str">
        <f aca="false">IF(AND(Tasks[[#This Row],[_IsLeaf]]=1,Tasks[[#This Row],[_LeafProgress]]&lt;1,Tasks[[#This Row],[_ShownFcstFinish]]&gt;=StatusDate,Tasks[[#This Row],[_ShownFcstFinish]]&lt;=LookaheadEnd),Tasks[[#This Row],[_ShownFcstFinish]]+Tasks[[#This Row],[_Row]]/100000,"")</f>
        <v/>
      </c>
      <c r="GH69" s="42" t="str">
        <f aca="false">IF(Tasks[[#This Row],[_LeafCritical]],Tasks[[#This Row],[_ShownFcstStart]]+Tasks[[#This Row],[_Row]]/100000,"")</f>
        <v/>
      </c>
      <c r="GI69" s="42" t="n">
        <f aca="false">Tasks[[#This Row],[_LeafWork]]*Tasks[[#This Row],[_LeafProgress]]</f>
        <v>0</v>
      </c>
      <c r="GJ69" s="89" t="str">
        <f aca="false">IF(AND(Tasks[[#This Row],[_IsLeaf]]=1,Tasks[[#This Row],[_LeafProgress]]&gt;=1),IF(N(Tasks[[#This Row],[Actual Finish]])&gt;0,Tasks[[#This Row],[Actual Finish]],Tasks[[#This Row],[_ShownFcstFinish]]),"")</f>
        <v/>
      </c>
      <c r="GK69" s="42" t="n">
        <f aca="false">IF(Tasks[[#This Row],[_IsLeaf]]=1,N(Tasks[[#This Row],[Story Points]]),0)</f>
        <v>0</v>
      </c>
      <c r="GL69" s="42" t="str">
        <f aca="false">""</f>
        <v/>
      </c>
      <c r="GM69" s="88" t="b">
        <f aca="false">IF(Tasks[[#This Row],[Task Name]]="",FALSE(),AND(Tasks[[#This Row],[_IsLeaf]]=1,N(Tasks[[#This Row],[_Days]])=0))</f>
        <v>0</v>
      </c>
      <c r="GN69" s="89" t="n">
        <f aca="false">IF(Tasks[[#This Row],[Task Name]]="",0,IF(AND(Tasks[[#This Row],[_IsLeaf]]=1,NOT(Tasks[[#This Row],[_IsMilestone]]),N(Tasks[[#This Row],[Progress]])&gt;0),Tasks[[#This Row],[Start]],0))</f>
        <v>0</v>
      </c>
      <c r="GO69" s="89" t="n">
        <f aca="false">IF(Tasks[[#This Row],[_DoneFrom]]=0,0,IF(Tasks[[#This Row],[Progress]]&gt;=1,Tasks[[#This Row],[Finish]],MAX(Tasks[[#This Row],[_DoneFrom]],Tasks[[#This Row],[Start]]+ROUND((Tasks[[#This Row],[Finish]]-Tasks[[#This Row],[Start]]+1)*Tasks[[#This Row],[Progress]],0)-1)))</f>
        <v>0</v>
      </c>
      <c r="GP69" s="89" t="n">
        <f aca="false">IF(Tasks[[#This Row],[Task Name]]="",0,IF(OR(NOT(Tasks[[#This Row],[_IsLeaf]]=1),Tasks[[#This Row],[_IsMilestone]],N(Tasks[[#This Row],[Progress]])&gt;=1),0,IF(Tasks[[#This Row],[_DoneTo]]&gt;0,Tasks[[#This Row],[_DoneTo]]+1,Tasks[[#This Row],[Start]])))</f>
        <v>0</v>
      </c>
      <c r="GQ69" s="89" t="n">
        <f aca="false">IF(Tasks[[#This Row],[_RemFrom]]=0,0,Tasks[[#This Row],[Finish]])</f>
        <v>0</v>
      </c>
      <c r="GR69" s="88" t="b">
        <f aca="false">IF(Tasks[[#This Row],[Task Name]]="",FALSE(),OR(NOT(BaselineSet),N(Tasks[[#This Row],[Baseline Start]])&gt;0))</f>
        <v>0</v>
      </c>
      <c r="GS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9" s="90" t="str">
        <f aca="false">IF(Tasks[[#This Row],[_IsLeaf]]=1,Tasks[[#This Row],[_Row]],"")</f>
        <v/>
      </c>
      <c r="GW69" s="90" t="str">
        <f aca="false">IFERROR(INDEX(Tasks[UID],SMALL(Tasks[_PickKey],Tasks[[#This Row],[_Row]]))&amp;" "&amp;INDEX(Tasks[Task Name],SMALL(Tasks[_PickKey],Tasks[[#This Row],[_Row]])),"")</f>
        <v/>
      </c>
      <c r="GX69" s="42" t="str">
        <f aca="false">IF(Tasks[[#This Row],[Task Name]]="","",IF(Tasks[[#This Row],[_IsSummary]],NETWORKDAYS.INTL(Tasks[[#This Row],[Start]],Tasks[[#This Row],[Finish]],WorkWeek,Holidays),N(Tasks[[#This Row],[_Days]])))</f>
        <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3"/>
      <c r="U70" s="23"/>
      <c r="V70" s="83"/>
      <c r="W70" s="23"/>
      <c r="X70" s="83"/>
      <c r="Y70" s="23"/>
      <c r="Z70" s="83"/>
      <c r="AA70" s="23"/>
      <c r="AB70" s="23"/>
      <c r="AC70" s="7"/>
      <c r="AD70" s="7"/>
      <c r="AE70" s="62" t="str">
        <f aca="false">IF(Tasks[[#This Row],[Task Name]]="","",IF(Tasks[[#This Row],[_IsSummary]],MIN(INDEX(Tasks[_ShownFcstStart],Tasks[[#This Row],[_Row]]+1):INDEX(Tasks[_ShownFcstStart],Tasks[[#This Row],[_Row]]+Tasks[[#This Row],[_Descendants]])),Tasks[[#This Row],[_ShownFcstStart]]))</f>
        <v/>
      </c>
      <c r="AF70" s="62"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0" s="7"/>
      <c r="AK70" s="22"/>
      <c r="AL70" s="23"/>
      <c r="AM70" s="7"/>
      <c r="AN70" s="46"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2" t="str">
        <f aca="false">IF(Tasks[[#This Row],[Task Name]]="","",IF(N(Tasks[[#This Row],[Baseline Start]])&gt;0,Tasks[[#This Row],[Baseline Start]],Tasks[[#This Row],[_CalcStart]]))</f>
        <v/>
      </c>
      <c r="AR70" s="62" t="str">
        <f aca="false">IF(Tasks[[#This Row],[Task Name]]="","",IF(N(Tasks[[#This Row],[Baseline Finish]])&gt;0,Tasks[[#This Row],[Baseline Finish]],Tasks[[#This Row],[_CalcFinish]]))</f>
        <v/>
      </c>
      <c r="AS70" s="46" t="str">
        <f aca="false">IF(Tasks[[#This Row],[Task Name]]="","",IF(Tasks[[#This Row],[Start]]&gt;=Tasks[[#This Row],[Planned Start]],NETWORKDAYS.INTL(Tasks[[#This Row],[Planned Start]],Tasks[[#This Row],[Start]],WorkWeek,Holidays)-1,1-NETWORKDAYS.INTL(Tasks[[#This Row],[Start]],Tasks[[#This Row],[Planned Start]],WorkWeek,Holidays)))</f>
        <v/>
      </c>
      <c r="AT70" s="62" t="str">
        <f aca="false">IF(Tasks[[#This Row],[Task Name]]="","",IF(Tasks[[#This Row],[_IsSummary]],MIN(INDEX(Tasks[_LeafLateStart],Tasks[[#This Row],[_Row]]+1):INDEX(Tasks[_LeafLateStart],Tasks[[#This Row],[_Row]]+Tasks[[#This Row],[_Descendants]])),Tasks[[#This Row],[_LeafLateStart]]))</f>
        <v/>
      </c>
      <c r="AU70" s="62" t="str">
        <f aca="false">IF(Tasks[[#This Row],[Task Name]]="","",IF(Tasks[[#This Row],[_IsSummary]],MAX(INDEX(Tasks[_LeafLateFinish],Tasks[[#This Row],[_Row]]+1):INDEX(Tasks[_LeafLateFinish],Tasks[[#This Row],[_Row]]+Tasks[[#This Row],[_Descendants]])),Tasks[[#This Row],[_LeafLateFinish]]))</f>
        <v/>
      </c>
      <c r="AV70" s="46"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4"/>
      <c r="BA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5"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6"/>
      <c r="BJ70" s="22"/>
      <c r="BK70" s="46" t="str">
        <f aca="false">IF(OR(Tasks[[#This Row],[Task Name]]="",Tasks[[#This Row],[Baseline Duration]]=""),"",Tasks[[#This Row],[_SpanDays]]-N(Tasks[[#This Row],[Baseline Duration]]))</f>
        <v/>
      </c>
      <c r="BL70" s="85" t="str">
        <f aca="false">IF(OR(Tasks[[#This Row],[Task Name]]="",Tasks[[#This Row],[Baseline Work]]=""),"",Tasks[[#This Row],[Work]]-N(Tasks[[#This Row],[Baseline Work]]))</f>
        <v/>
      </c>
      <c r="BM70" s="62" t="str">
        <f aca="false">IF(Tasks[[#This Row],[Task Name]]="","",IF(OR(TakeBaseline="Yes",N(Tasks[[#This Row],[Baseline Start]])=0),Tasks[[#This Row],[Start]],Tasks[[#This Row],[Baseline Start]]))</f>
        <v/>
      </c>
      <c r="BN70" s="62"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5" t="str">
        <f aca="false">IF(Tasks[[#This Row],[Task Name]]="","",IF(OR(TakeBaseline="Yes",N(Tasks[[#This Row],[Baseline Work]])=0),Tasks[[#This Row],[Work]],Tasks[[#This Row],[Baseline Work]]))</f>
        <v/>
      </c>
      <c r="BQ70" s="7"/>
      <c r="BR70" s="7"/>
      <c r="BS70" s="22"/>
      <c r="BT70" s="87"/>
      <c r="BU70" s="42" t="str">
        <f aca="false">IF(Tasks[[#This Row],[Task Name]]="","",MAX(1,N(Tasks[[#This Row],[Level]])))</f>
        <v/>
      </c>
      <c r="BV70" s="42" t="n">
        <f aca="false">ROW()-ROW(Tasks[[#Headers],[ID]])</f>
        <v>65</v>
      </c>
      <c r="BW70" s="42" t="n">
        <f aca="false">IF(OR(Tasks[[#This Row],[Task Name]]="",Tasks[[#This Row],[_Level]]&lt;=1),0,IFERROR(LOOKUP(2,1/(Tasks[[#Headers],[_Level]]:Tasks[[#This Row],[_Level]]=Tasks[[#This Row],[_Level]]-1),ROW(Tasks[[#Headers],[_Level]]:Tasks[[#This Row],[_Level]])),0))</f>
        <v>0</v>
      </c>
      <c r="BX70" s="42" t="n">
        <f aca="false">IFERROR(N(INDEX(Tasks[_Level],Tasks[[#This Row],[_Row]]+1)),0)</f>
        <v>0</v>
      </c>
      <c r="BY70" s="88" t="b">
        <f aca="false">AND(Tasks[[#This Row],[Task Name]]&lt;&gt;"",Tasks[[#This Row],[_NextLevel]]&gt;Tasks[[#This Row],[_Level]])</f>
        <v>0</v>
      </c>
      <c r="BZ70" s="42" t="n">
        <f aca="false">IF(Tasks[[#This Row],[_IsSummary]],COUNTIF(Tasks[WBS],Tasks[[#This Row],[WBS]]&amp;".*"),0)</f>
        <v>0</v>
      </c>
      <c r="CA70" s="42" t="n">
        <f aca="false">IF(AND(Tasks[[#This Row],[Task Name]]&lt;&gt;"",NOT(Tasks[[#This Row],[_IsSummary]])),1,0)</f>
        <v>0</v>
      </c>
      <c r="CB70" s="42" t="n">
        <f aca="false">IF(N(Tasks[[#This Row],[_Pred1UID]])=0,0,IFERROR(MATCH(Tasks[[#This Row],[_Pred1UID]],Tasks[UID],0),-1))</f>
        <v>0</v>
      </c>
      <c r="CC70" s="42" t="n">
        <f aca="false">IF(N(Tasks[[#This Row],[_Pred2UID]])=0,0,IFERROR(MATCH(Tasks[[#This Row],[_Pred2UID]],Tasks[UID],0),-1))</f>
        <v>0</v>
      </c>
      <c r="CD70" s="42" t="n">
        <f aca="false">IF(N(Tasks[[#This Row],[_Pred3UID]])=0,0,IFERROR(MATCH(Tasks[[#This Row],[_Pred3UID]],Tasks[UID],0),-1))</f>
        <v>0</v>
      </c>
      <c r="CE70" s="42" t="n">
        <f aca="false">IF(N(Tasks[[#This Row],[_Pred4UID]])=0,0,IFERROR(MATCH(Tasks[[#This Row],[_Pred4UID]],Tasks[UID],0),-1))</f>
        <v>0</v>
      </c>
      <c r="CF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0" s="89" t="n">
        <f aca="false">IF(OR(Tasks[[#This Row],[_ConstraintCode]]=2,Tasks[[#This Row],[_ConstraintCode]]=3,Tasks[[#This Row],[_ConstraintCode]]=4,Tasks[[#This Row],[_ConstraintCode]]=6),Tasks[[#This Row],[_ConstraintStart]],0)</f>
        <v>0</v>
      </c>
      <c r="CI70" s="89" t="n">
        <f aca="false">IF(OR(Tasks[[#This Row],[_ConstraintCode]]=2,Tasks[[#This Row],[_ConstraintCode]]=3,Tasks[[#This Row],[_ConstraintCode]]=5,Tasks[[#This Row],[_ConstraintCode]]=7),Tasks[[#This Row],[_ConstraintStart]],2958465)</f>
        <v>2958465</v>
      </c>
      <c r="CJ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0" s="89" t="str">
        <f aca="false">IF(NOT(Tasks[[#This Row],[_IsLeaf]]=1),"",IF(N(Tasks[[#This Row],[_Days]])&lt;=0,Tasks[[#This Row],[_LeafCalcStart]],WORKDAY.INTL(Tasks[[#This Row],[_LeafCalcStart]],Tasks[[#This Row],[_Days]]-1,WorkWeek,Holidays)))</f>
        <v/>
      </c>
      <c r="CL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0" s="42" t="str">
        <f aca="false">IF(Tasks[[#This Row],[_Predecessors]]="","",TRIM(MID(SUBSTITUTE(SUBSTITUTE(SUBSTITUTE(UPPER(Tasks[[#This Row],[_Predecessors]]),";",",")," ",""),",",REPT(" ",99)),1,99)))</f>
        <v/>
      </c>
      <c r="CO70" s="42" t="str">
        <f aca="false">IF(Tasks[[#This Row],[_Pred1Text]]="","",IFERROR(VALUE(LEFT(Tasks[[#This Row],[_Pred1Text]],MIN(FIND("F",Tasks[[#This Row],[_Pred1Text]]&amp;"F"),FIND("S",Tasks[[#This Row],[_Pred1Text]]&amp;"S"),FIND("+",Tasks[[#This Row],[_Pred1Text]]&amp;"+"),FIND("-",Tasks[[#This Row],[_Pred1Text]]&amp;"-"))-1)),""))</f>
        <v/>
      </c>
      <c r="CP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0" s="42" t="str">
        <f aca="false">IF(Tasks[[#This Row],[_Pred1Text]]="","",TRIM(MID(SUBSTITUTE(SUBSTITUTE(SUBSTITUTE(UPPER(Tasks[[#This Row],[_Predecessors]]),";",",")," ",""),",",REPT(" ",99)),100,99)))</f>
        <v/>
      </c>
      <c r="CS70" s="42" t="str">
        <f aca="false">IF(Tasks[[#This Row],[_Pred2Text]]="","",IFERROR(VALUE(LEFT(Tasks[[#This Row],[_Pred2Text]],MIN(FIND("F",Tasks[[#This Row],[_Pred2Text]]&amp;"F"),FIND("S",Tasks[[#This Row],[_Pred2Text]]&amp;"S"),FIND("+",Tasks[[#This Row],[_Pred2Text]]&amp;"+"),FIND("-",Tasks[[#This Row],[_Pred2Text]]&amp;"-"))-1)),""))</f>
        <v/>
      </c>
      <c r="CT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0" s="42" t="str">
        <f aca="false">IF(Tasks[[#This Row],[_Pred2Text]]="","",TRIM(MID(SUBSTITUTE(SUBSTITUTE(SUBSTITUTE(UPPER(Tasks[[#This Row],[_Predecessors]]),";",",")," ",""),",",REPT(" ",99)),199,99)))</f>
        <v/>
      </c>
      <c r="CW70" s="42" t="str">
        <f aca="false">IF(Tasks[[#This Row],[_Pred3Text]]="","",IFERROR(VALUE(LEFT(Tasks[[#This Row],[_Pred3Text]],MIN(FIND("F",Tasks[[#This Row],[_Pred3Text]]&amp;"F"),FIND("S",Tasks[[#This Row],[_Pred3Text]]&amp;"S"),FIND("+",Tasks[[#This Row],[_Pred3Text]]&amp;"+"),FIND("-",Tasks[[#This Row],[_Pred3Text]]&amp;"-"))-1)),""))</f>
        <v/>
      </c>
      <c r="CX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0" s="42" t="str">
        <f aca="false">IF(Tasks[[#This Row],[_Pred3Text]]="","",TRIM(MID(SUBSTITUTE(SUBSTITUTE(SUBSTITUTE(UPPER(Tasks[[#This Row],[_Predecessors]]),";",",")," ",""),",",REPT(" ",99)),298,99)))</f>
        <v/>
      </c>
      <c r="DA70" s="42" t="str">
        <f aca="false">IF(Tasks[[#This Row],[_Pred4Text]]="","",IFERROR(VALUE(LEFT(Tasks[[#This Row],[_Pred4Text]],MIN(FIND("F",Tasks[[#This Row],[_Pred4Text]]&amp;"F"),FIND("S",Tasks[[#This Row],[_Pred4Text]]&amp;"S"),FIND("+",Tasks[[#This Row],[_Pred4Text]]&amp;"+"),FIND("-",Tasks[[#This Row],[_Pred4Text]]&amp;"-"))-1)),""))</f>
        <v/>
      </c>
      <c r="DB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0" s="42" t="str">
        <f aca="false">IF(OR(Tasks[[#This Row],[Task Name]]="",Tasks[[#This Row],[_Resources]]=""),"",TRIM(MID(SUBSTITUTE(Tasks[[#This Row],[_Resources]],",",REPT(" ",99)),1,99)))</f>
        <v/>
      </c>
      <c r="DE70" s="42" t="str">
        <f aca="false">IF(Tasks[[#This Row],[_Res1Text]]="","",TRIM(MID(SUBSTITUTE(Tasks[[#This Row],[_Resources]],",",REPT(" ",99)),100,99)))</f>
        <v/>
      </c>
      <c r="DF70" s="42" t="str">
        <f aca="false">IF(Tasks[[#This Row],[_Res2Text]]="","",TRIM(MID(SUBSTITUTE(Tasks[[#This Row],[_Resources]],",",REPT(" ",99)),199,99)))</f>
        <v/>
      </c>
      <c r="DG70" s="42" t="str">
        <f aca="false">IF(Tasks[[#This Row],[_Res3Text]]="","",TRIM(MID(SUBSTITUTE(Tasks[[#This Row],[_Resources]],",",REPT(" ",99)),298,99)))</f>
        <v/>
      </c>
      <c r="DH70" s="42" t="n">
        <f aca="false">IF(Tasks[[#This Row],[_Res1Text]]="",0,IFERROR(MATCH(TRIM(LEFT(Tasks[[#This Row],[_Res1Text]],FIND("[",Tasks[[#This Row],[_Res1Text]]&amp;"[")-1)),res_Name,0),IFERROR(MATCH(TRIM(LEFT(Tasks[[#This Row],[_Res1Text]],FIND("[",Tasks[[#This Row],[_Res1Text]]&amp;"[")-1)),res_Initials,0),0)))</f>
        <v>0</v>
      </c>
      <c r="DI70" s="42" t="n">
        <f aca="false">IF(Tasks[[#This Row],[_Res2Text]]="",0,IFERROR(MATCH(TRIM(LEFT(Tasks[[#This Row],[_Res2Text]],FIND("[",Tasks[[#This Row],[_Res2Text]]&amp;"[")-1)),res_Name,0),IFERROR(MATCH(TRIM(LEFT(Tasks[[#This Row],[_Res2Text]],FIND("[",Tasks[[#This Row],[_Res2Text]]&amp;"[")-1)),res_Initials,0),0)))</f>
        <v>0</v>
      </c>
      <c r="DJ70" s="42" t="n">
        <f aca="false">IF(Tasks[[#This Row],[_Res3Text]]="",0,IFERROR(MATCH(TRIM(LEFT(Tasks[[#This Row],[_Res3Text]],FIND("[",Tasks[[#This Row],[_Res3Text]]&amp;"[")-1)),res_Name,0),IFERROR(MATCH(TRIM(LEFT(Tasks[[#This Row],[_Res3Text]],FIND("[",Tasks[[#This Row],[_Res3Text]]&amp;"[")-1)),res_Initials,0),0)))</f>
        <v>0</v>
      </c>
      <c r="DK70" s="42" t="n">
        <f aca="false">IF(Tasks[[#This Row],[_Res4Text]]="",0,IFERROR(MATCH(TRIM(LEFT(Tasks[[#This Row],[_Res4Text]],FIND("[",Tasks[[#This Row],[_Res4Text]]&amp;"[")-1)),res_Name,0),IFERROR(MATCH(TRIM(LEFT(Tasks[[#This Row],[_Res4Text]],FIND("[",Tasks[[#This Row],[_Res4Text]]&amp;"[")-1)),res_Initials,0),0)))</f>
        <v>0</v>
      </c>
      <c r="DL70" s="42" t="str">
        <f aca="false">IF(Tasks[[#This Row],[_Res1Text]]="","",IF(Tasks[[#This Row],[_Res1Row]]&gt;0,INDEX(res_Name,Tasks[[#This Row],[_Res1Row]]),TRIM(LEFT(Tasks[[#This Row],[_Res1Text]],FIND("[",Tasks[[#This Row],[_Res1Text]]&amp;"[")-1))))</f>
        <v/>
      </c>
      <c r="DM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0" s="42" t="n">
        <f aca="false">IF(NOT(Tasks[[#This Row],[_IsLeaf]]=1),0,(Tasks[[#This Row],[_Resource1]]&lt;&gt;"")+(Tasks[[#This Row],[_Res2]]&lt;&gt;"")+(Tasks[[#This Row],[_Res3]]&lt;&gt;"")+(Tasks[[#This Row],[_Res4]]&lt;&gt;""))</f>
        <v>0</v>
      </c>
      <c r="DO70" s="42" t="str">
        <f aca="false">IF(Tasks[[#This Row],[_Res2Text]]="","",IF(Tasks[[#This Row],[_Res2Row]]&gt;0,INDEX(res_Name,Tasks[[#This Row],[_Res2Row]]),TRIM(LEFT(Tasks[[#This Row],[_Res2Text]],FIND("[",Tasks[[#This Row],[_Res2Text]]&amp;"[")-1))))</f>
        <v/>
      </c>
      <c r="DP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0" s="42" t="n">
        <f aca="false">IF(OR(NOT(Tasks[[#This Row],[_IsLeaf]]=1),Tasks[[#This Row],[_Res2Row]]=0),0,N(Tasks[[#This Row],[_Days]])*HoursPerDay*IF(Tasks[[#This Row],[_Res2Units]]="",DefaultUnits,Tasks[[#This Row],[_Res2Units]]))</f>
        <v>0</v>
      </c>
      <c r="DR70" s="42" t="n">
        <f aca="false">IF(AND(AND(Tasks[[#This Row],[_IsLeaf]]=1,Tasks[[#This Row],[_LeafTotalWork]]&gt;0),Tasks[[#This Row],[_Res2Work]]&gt;0),Tasks[[#This Row],[_Res2Work]]/(Tasks[[#This Row],[_FinishWorkday]]-Tasks[[#This Row],[_StartWorkday]]+1),0)</f>
        <v>0</v>
      </c>
      <c r="DS70" s="42" t="n">
        <f aca="false">Tasks[[#This Row],[_Res2WorkPerWD]]*MAX(0,Tasks[[#This Row],[_StartWorkday]]-1)</f>
        <v>0</v>
      </c>
      <c r="DT70" s="42" t="n">
        <f aca="false">Tasks[[#This Row],[_Res2Work]]*Tasks[[#This Row],[_LeafProgress]]</f>
        <v>0</v>
      </c>
      <c r="DU70" s="42" t="str">
        <f aca="false">IF(Tasks[[#This Row],[_Res3Text]]="","",IF(Tasks[[#This Row],[_Res3Row]]&gt;0,INDEX(res_Name,Tasks[[#This Row],[_Res3Row]]),TRIM(LEFT(Tasks[[#This Row],[_Res3Text]],FIND("[",Tasks[[#This Row],[_Res3Text]]&amp;"[")-1))))</f>
        <v/>
      </c>
      <c r="DV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0" s="42" t="n">
        <f aca="false">IF(OR(NOT(Tasks[[#This Row],[_IsLeaf]]=1),Tasks[[#This Row],[_Res3Row]]=0),0,N(Tasks[[#This Row],[_Days]])*HoursPerDay*IF(Tasks[[#This Row],[_Res3Units]]="",DefaultUnits,Tasks[[#This Row],[_Res3Units]]))</f>
        <v>0</v>
      </c>
      <c r="DX70" s="42" t="n">
        <f aca="false">IF(AND(AND(Tasks[[#This Row],[_IsLeaf]]=1,Tasks[[#This Row],[_LeafTotalWork]]&gt;0),Tasks[[#This Row],[_Res3Work]]&gt;0),Tasks[[#This Row],[_Res3Work]]/(Tasks[[#This Row],[_FinishWorkday]]-Tasks[[#This Row],[_StartWorkday]]+1),0)</f>
        <v>0</v>
      </c>
      <c r="DY70" s="42" t="n">
        <f aca="false">Tasks[[#This Row],[_Res3WorkPerWD]]*MAX(0,Tasks[[#This Row],[_StartWorkday]]-1)</f>
        <v>0</v>
      </c>
      <c r="DZ70" s="42" t="n">
        <f aca="false">Tasks[[#This Row],[_Res3Work]]*Tasks[[#This Row],[_LeafProgress]]</f>
        <v>0</v>
      </c>
      <c r="EA70" s="42" t="str">
        <f aca="false">IF(Tasks[[#This Row],[_Res4Text]]="","",IF(Tasks[[#This Row],[_Res4Row]]&gt;0,INDEX(res_Name,Tasks[[#This Row],[_Res4Row]]),TRIM(LEFT(Tasks[[#This Row],[_Res4Text]],FIND("[",Tasks[[#This Row],[_Res4Text]]&amp;"[")-1))))</f>
        <v/>
      </c>
      <c r="EB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0" s="42" t="n">
        <f aca="false">IF(OR(NOT(Tasks[[#This Row],[_IsLeaf]]=1),Tasks[[#This Row],[_Res4Row]]=0),0,N(Tasks[[#This Row],[_Days]])*HoursPerDay*IF(Tasks[[#This Row],[_Res4Units]]="",DefaultUnits,Tasks[[#This Row],[_Res4Units]]))</f>
        <v>0</v>
      </c>
      <c r="ED70" s="42" t="n">
        <f aca="false">IF(AND(AND(Tasks[[#This Row],[_IsLeaf]]=1,Tasks[[#This Row],[_LeafTotalWork]]&gt;0),Tasks[[#This Row],[_Res4Work]]&gt;0),Tasks[[#This Row],[_Res4Work]]/(Tasks[[#This Row],[_FinishWorkday]]-Tasks[[#This Row],[_StartWorkday]]+1),0)</f>
        <v>0</v>
      </c>
      <c r="EE70" s="42" t="n">
        <f aca="false">Tasks[[#This Row],[_Res4WorkPerWD]]*MAX(0,Tasks[[#This Row],[_StartWorkday]]-1)</f>
        <v>0</v>
      </c>
      <c r="EF70" s="42" t="n">
        <f aca="false">Tasks[[#This Row],[_Res4Work]]*Tasks[[#This Row],[_LeafProgress]]</f>
        <v>0</v>
      </c>
      <c r="EG70" s="42" t="n">
        <f aca="false">IF(ISNUMBER(Tasks[[#This Row],[% Complete]]),Tasks[[#This Row],[% Complete]],IF(Tasks[[#This Row],[Stage]]="",0,IFERROR(INDEX(stg_Pct,MATCH(Tasks[[#This Row],[Stage]],stg_Name,0)),0)))</f>
        <v>0</v>
      </c>
      <c r="EH70" s="42" t="n">
        <f aca="false">IF(NOT(Tasks[[#This Row],[_IsLeaf]]=1),0,IF(N(Tasks[[#This Row],[Actual Finish]])&gt;0,1,MIN(1,Tasks[[#This Row],[_Pct]])))</f>
        <v>0</v>
      </c>
      <c r="EI70" s="42" t="n">
        <f aca="false">IF(OR(NOT(Tasks[[#This Row],[_IsLeaf]]=1),Tasks[[#This Row],[_Res1Row]]=0),0,N(Tasks[[#This Row],[_Days]])*HoursPerDay*IF(Tasks[[#This Row],[_Units1]]="",DefaultUnits,Tasks[[#This Row],[_Units1]]))</f>
        <v>0</v>
      </c>
      <c r="EJ70" s="42" t="n">
        <f aca="false">Tasks[[#This Row],[_LeafWork]]+Tasks[[#This Row],[_Res2Work]]+Tasks[[#This Row],[_Res3Work]]+Tasks[[#This Row],[_Res4Work]]</f>
        <v>0</v>
      </c>
      <c r="EK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0" s="42" t="n">
        <f aca="false">IF(NOT(Tasks[[#This Row],[_IsLeaf]]=1),0,MAX(_xlfn.MAXIFS(Tasks[_Row],Tasks[_Pred1UID],Tasks[[#This Row],[UID]]),_xlfn.MAXIFS(Tasks[_Row],Tasks[_Pred2UID],Tasks[[#This Row],[UID]]),_xlfn.MAXIFS(Tasks[_Row],Tasks[_Pred3UID],Tasks[[#This Row],[UID]]),_xlfn.MAXIFS(Tasks[_Row],Tasks[_Pred4UID],Tasks[[#This Row],[UID]])))</f>
        <v>0</v>
      </c>
      <c r="ET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0" s="89" t="str">
        <f aca="false">IF(NOT(Tasks[[#This Row],[_IsLeaf]]=1),"",IF(N(Tasks[[#This Row],[_Days]])&lt;=0,Tasks[[#This Row],[_LeafLateFinish]],WORKDAY.INTL(Tasks[[#This Row],[_LeafLateFinish]],-(Tasks[[#This Row],[_Days]]-1),WorkWeek,Holidays)))</f>
        <v/>
      </c>
      <c r="EW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0" s="88" t="b">
        <f aca="false">AND(Tasks[[#This Row],[_IsLeaf]]=1,Tasks[[#This Row],[_LeafProgress]]&lt;1,N(Tasks[[#This Row],[_LeafTotalSlack]])&lt;=CriticalSlackDays)</f>
        <v>0</v>
      </c>
      <c r="EY70" s="42" t="n">
        <f aca="false">IF(AND(Tasks[[#This Row],[_IsLeaf]]=1,Tasks[[#This Row],[_ConstraintCode]]=1,Tasks[[#This Row],[Mode]]&lt;&gt;"Manual",N(Tasks[[#This Row],[Actual Start]])=0),MAX(0,N(Tasks[[#This Row],[Free Slack]])),0)</f>
        <v>0</v>
      </c>
      <c r="EZ70" s="89" t="str">
        <f aca="false">IF(NOT(Tasks[[#This Row],[_IsLeaf]]=1),"",IF(Tasks[[#This Row],[_AlapShift]]=0,Tasks[[#This Row],[_LeafCalcStart]],WORKDAY.INTL(Tasks[[#This Row],[_LeafCalcStart]],Tasks[[#This Row],[_AlapShift]],WorkWeek,Holidays)))</f>
        <v/>
      </c>
      <c r="FA70" s="89" t="str">
        <f aca="false">IF(NOT(Tasks[[#This Row],[_IsLeaf]]=1),"",IF(Tasks[[#This Row],[_AlapShift]]=0,Tasks[[#This Row],[_LeafCalcFinish]],WORKDAY.INTL(Tasks[[#This Row],[_LeafCalcFinish]],Tasks[[#This Row],[_AlapShift]],WorkWeek,Holidays)))</f>
        <v/>
      </c>
      <c r="FB70" s="89" t="str">
        <f aca="false">IF(NOT(Tasks[[#This Row],[_IsLeaf]]=1),"",IF(Tasks[[#This Row],[_AlapShift]]=0,Tasks[[#This Row],[_LeafFcstStart]],WORKDAY.INTL(Tasks[[#This Row],[_LeafFcstStart]],Tasks[[#This Row],[_AlapShift]],WorkWeek,Holidays)))</f>
        <v/>
      </c>
      <c r="FC70" s="89" t="str">
        <f aca="false">IF(NOT(Tasks[[#This Row],[_IsLeaf]]=1),"",IF(Tasks[[#This Row],[_AlapShift]]=0,Tasks[[#This Row],[_LeafFcstFinish]],WORKDAY.INTL(Tasks[[#This Row],[_LeafFcstFinish]],Tasks[[#This Row],[_AlapShift]],WorkWeek,Holidays)))</f>
        <v/>
      </c>
      <c r="FD70" s="89" t="str">
        <f aca="false">IF(Tasks[[#This Row],[Task Name]]="","",IF(Tasks[[#This Row],[_IsSummary]],MIN(INDEX(Tasks[_ShownCalcStart],Tasks[[#This Row],[_Row]]+1):INDEX(Tasks[_ShownCalcStart],Tasks[[#This Row],[_Row]]+Tasks[[#This Row],[_Descendants]])),Tasks[[#This Row],[_ShownCalcStart]]))</f>
        <v/>
      </c>
      <c r="FE70" s="89" t="str">
        <f aca="false">IF(Tasks[[#This Row],[Task Name]]="","",IF(Tasks[[#This Row],[_IsSummary]],MAX(INDEX(Tasks[_ShownCalcFinish],Tasks[[#This Row],[_Row]]+1):INDEX(Tasks[_ShownCalcFinish],Tasks[[#This Row],[_Row]]+Tasks[[#This Row],[_Descendants]])),Tasks[[#This Row],[_ShownCalcFinish]]))</f>
        <v/>
      </c>
      <c r="FF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0" s="42" t="n">
        <f aca="false">IF(AND(Tasks[[#This Row],[_IsLeaf]]=1,Tasks[[#This Row],[_LeafTotalWork]]&gt;0),NETWORKDAYS.INTL(ProjectStart,Tasks[[#This Row],[_ShownFcstStart]],WorkWeek,Holidays),0)</f>
        <v>0</v>
      </c>
      <c r="FS70" s="42" t="n">
        <f aca="false">IF(AND(Tasks[[#This Row],[_IsLeaf]]=1,Tasks[[#This Row],[_LeafTotalWork]]&gt;0),MAX(Tasks[[#This Row],[_StartWorkday]],NETWORKDAYS.INTL(ProjectStart,Tasks[[#This Row],[_ShownFcstFinish]],WorkWeek,Holidays)),0)</f>
        <v>0</v>
      </c>
      <c r="FT70" s="42" t="n">
        <f aca="false">IF(AND(Tasks[[#This Row],[_IsLeaf]]=1,Tasks[[#This Row],[_LeafTotalWork]]&gt;0),Tasks[[#This Row],[_LeafWork]]/(Tasks[[#This Row],[_FinishWorkday]]-Tasks[[#This Row],[_StartWorkday]]+1),0)</f>
        <v>0</v>
      </c>
      <c r="FU70" s="42" t="n">
        <f aca="false">Tasks[[#This Row],[_WorkPerWorkday]]*(Tasks[[#This Row],[_StartWorkday]]-1)</f>
        <v>-0</v>
      </c>
      <c r="FV70" s="42" t="n">
        <f aca="false">IF(Tasks[[#This Row],[_IsLeaf]]=1,MAX(N(Tasks[[#This Row],[_Days]]),0.1),0)</f>
        <v>0</v>
      </c>
      <c r="FW70" s="42" t="n">
        <f aca="false">Tasks[[#This Row],[_WeightDur]]*Tasks[[#This Row],[_LeafProgress]]</f>
        <v>0</v>
      </c>
      <c r="FX70" s="42" t="n">
        <f aca="false">Tasks[[#This Row],[_WeightDur]]*Tasks[[#This Row],[_PlannedPct]]</f>
        <v>0</v>
      </c>
      <c r="FY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0" s="42" t="str">
        <f aca="false">IF(AND(Tasks[[#This Row],[_IsLeaf]]=1,N(Tasks[[#This Row],[_Days]])=0,Tasks[[#This Row],[_LeafProgress]]&lt;1),Tasks[[#This Row],[_ShownFcstFinish]]+Tasks[[#This Row],[_Row]]/100000,"")</f>
        <v/>
      </c>
      <c r="GA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0" s="42" t="str">
        <f aca="false">IF(Tasks[[#This Row],[Task Name]]="","",LEFT(Tasks[[#This Row],[WBS]],FIND(".",Tasks[[#This Row],[WBS]]&amp;".")-1))</f>
        <v/>
      </c>
      <c r="GC70" s="42" t="str">
        <f aca="false">IF(AND(Tasks[[#This Row],[Task Name]]&lt;&gt;"",Tasks[[#This Row],[_Level]]=1),Tasks[[#This Row],[_Row]],"")</f>
        <v/>
      </c>
      <c r="GD70" s="42" t="str">
        <f aca="false">IF(AND(Tasks[[#This Row],[_IsLeaf]]=1,N(Tasks[[#This Row],[_Days]])=0),Tasks[[#This Row],[Planned Finish]]+Tasks[[#This Row],[_Row]]/100000,"")</f>
        <v/>
      </c>
      <c r="GE70" s="42" t="str">
        <f aca="false">IF(AND(Tasks[[#This Row],[_IsLeaf]]=1,Tasks[[#This Row],[_LeafProgress]]&lt;1,OR(N(Tasks[[#This Row],[Finish Var]])&gt;0,Tasks[[#This Row],[Status]]="Late Start")),MAX(0,Tasks[[#This Row],[Finish Var]])+1-Tasks[[#This Row],[_Row]]/1000000,"")</f>
        <v/>
      </c>
      <c r="GF70" s="42" t="str">
        <f aca="false">IF(AND(Tasks[[#This Row],[_IsLeaf]]=1,N(Tasks[[#This Row],[Actual Start]])=0,Tasks[[#This Row],[_ShownFcstStart]]&gt;=StatusDate,Tasks[[#This Row],[_ShownFcstStart]]&lt;=LookaheadEnd),Tasks[[#This Row],[_ShownFcstStart]]+Tasks[[#This Row],[_Row]]/100000,"")</f>
        <v/>
      </c>
      <c r="GG70" s="42" t="str">
        <f aca="false">IF(AND(Tasks[[#This Row],[_IsLeaf]]=1,Tasks[[#This Row],[_LeafProgress]]&lt;1,Tasks[[#This Row],[_ShownFcstFinish]]&gt;=StatusDate,Tasks[[#This Row],[_ShownFcstFinish]]&lt;=LookaheadEnd),Tasks[[#This Row],[_ShownFcstFinish]]+Tasks[[#This Row],[_Row]]/100000,"")</f>
        <v/>
      </c>
      <c r="GH70" s="42" t="str">
        <f aca="false">IF(Tasks[[#This Row],[_LeafCritical]],Tasks[[#This Row],[_ShownFcstStart]]+Tasks[[#This Row],[_Row]]/100000,"")</f>
        <v/>
      </c>
      <c r="GI70" s="42" t="n">
        <f aca="false">Tasks[[#This Row],[_LeafWork]]*Tasks[[#This Row],[_LeafProgress]]</f>
        <v>0</v>
      </c>
      <c r="GJ70" s="89" t="str">
        <f aca="false">IF(AND(Tasks[[#This Row],[_IsLeaf]]=1,Tasks[[#This Row],[_LeafProgress]]&gt;=1),IF(N(Tasks[[#This Row],[Actual Finish]])&gt;0,Tasks[[#This Row],[Actual Finish]],Tasks[[#This Row],[_ShownFcstFinish]]),"")</f>
        <v/>
      </c>
      <c r="GK70" s="42" t="n">
        <f aca="false">IF(Tasks[[#This Row],[_IsLeaf]]=1,N(Tasks[[#This Row],[Story Points]]),0)</f>
        <v>0</v>
      </c>
      <c r="GL70" s="42" t="str">
        <f aca="false">""</f>
        <v/>
      </c>
      <c r="GM70" s="88" t="b">
        <f aca="false">IF(Tasks[[#This Row],[Task Name]]="",FALSE(),AND(Tasks[[#This Row],[_IsLeaf]]=1,N(Tasks[[#This Row],[_Days]])=0))</f>
        <v>0</v>
      </c>
      <c r="GN70" s="89" t="n">
        <f aca="false">IF(Tasks[[#This Row],[Task Name]]="",0,IF(AND(Tasks[[#This Row],[_IsLeaf]]=1,NOT(Tasks[[#This Row],[_IsMilestone]]),N(Tasks[[#This Row],[Progress]])&gt;0),Tasks[[#This Row],[Start]],0))</f>
        <v>0</v>
      </c>
      <c r="GO70" s="89" t="n">
        <f aca="false">IF(Tasks[[#This Row],[_DoneFrom]]=0,0,IF(Tasks[[#This Row],[Progress]]&gt;=1,Tasks[[#This Row],[Finish]],MAX(Tasks[[#This Row],[_DoneFrom]],Tasks[[#This Row],[Start]]+ROUND((Tasks[[#This Row],[Finish]]-Tasks[[#This Row],[Start]]+1)*Tasks[[#This Row],[Progress]],0)-1)))</f>
        <v>0</v>
      </c>
      <c r="GP70" s="89" t="n">
        <f aca="false">IF(Tasks[[#This Row],[Task Name]]="",0,IF(OR(NOT(Tasks[[#This Row],[_IsLeaf]]=1),Tasks[[#This Row],[_IsMilestone]],N(Tasks[[#This Row],[Progress]])&gt;=1),0,IF(Tasks[[#This Row],[_DoneTo]]&gt;0,Tasks[[#This Row],[_DoneTo]]+1,Tasks[[#This Row],[Start]])))</f>
        <v>0</v>
      </c>
      <c r="GQ70" s="89" t="n">
        <f aca="false">IF(Tasks[[#This Row],[_RemFrom]]=0,0,Tasks[[#This Row],[Finish]])</f>
        <v>0</v>
      </c>
      <c r="GR70" s="88" t="b">
        <f aca="false">IF(Tasks[[#This Row],[Task Name]]="",FALSE(),OR(NOT(BaselineSet),N(Tasks[[#This Row],[Baseline Start]])&gt;0))</f>
        <v>0</v>
      </c>
      <c r="GS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0" s="90" t="str">
        <f aca="false">IF(Tasks[[#This Row],[_IsLeaf]]=1,Tasks[[#This Row],[_Row]],"")</f>
        <v/>
      </c>
      <c r="GW70" s="90" t="str">
        <f aca="false">IFERROR(INDEX(Tasks[UID],SMALL(Tasks[_PickKey],Tasks[[#This Row],[_Row]]))&amp;" "&amp;INDEX(Tasks[Task Name],SMALL(Tasks[_PickKey],Tasks[[#This Row],[_Row]])),"")</f>
        <v/>
      </c>
      <c r="GX70" s="42" t="str">
        <f aca="false">IF(Tasks[[#This Row],[Task Name]]="","",IF(Tasks[[#This Row],[_IsSummary]],NETWORKDAYS.INTL(Tasks[[#This Row],[Start]],Tasks[[#This Row],[Finish]],WorkWeek,Holidays),N(Tasks[[#This Row],[_Days]])))</f>
        <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3"/>
      <c r="U71" s="23"/>
      <c r="V71" s="83"/>
      <c r="W71" s="23"/>
      <c r="X71" s="83"/>
      <c r="Y71" s="23"/>
      <c r="Z71" s="83"/>
      <c r="AA71" s="23"/>
      <c r="AB71" s="23"/>
      <c r="AC71" s="7"/>
      <c r="AD71" s="7"/>
      <c r="AE71" s="62" t="str">
        <f aca="false">IF(Tasks[[#This Row],[Task Name]]="","",IF(Tasks[[#This Row],[_IsSummary]],MIN(INDEX(Tasks[_ShownFcstStart],Tasks[[#This Row],[_Row]]+1):INDEX(Tasks[_ShownFcstStart],Tasks[[#This Row],[_Row]]+Tasks[[#This Row],[_Descendants]])),Tasks[[#This Row],[_ShownFcstStart]]))</f>
        <v/>
      </c>
      <c r="AF71" s="62"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1" s="7"/>
      <c r="AK71" s="22"/>
      <c r="AL71" s="23"/>
      <c r="AM71" s="7"/>
      <c r="AN71" s="46"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2" t="str">
        <f aca="false">IF(Tasks[[#This Row],[Task Name]]="","",IF(N(Tasks[[#This Row],[Baseline Start]])&gt;0,Tasks[[#This Row],[Baseline Start]],Tasks[[#This Row],[_CalcStart]]))</f>
        <v/>
      </c>
      <c r="AR71" s="62" t="str">
        <f aca="false">IF(Tasks[[#This Row],[Task Name]]="","",IF(N(Tasks[[#This Row],[Baseline Finish]])&gt;0,Tasks[[#This Row],[Baseline Finish]],Tasks[[#This Row],[_CalcFinish]]))</f>
        <v/>
      </c>
      <c r="AS71" s="46" t="str">
        <f aca="false">IF(Tasks[[#This Row],[Task Name]]="","",IF(Tasks[[#This Row],[Start]]&gt;=Tasks[[#This Row],[Planned Start]],NETWORKDAYS.INTL(Tasks[[#This Row],[Planned Start]],Tasks[[#This Row],[Start]],WorkWeek,Holidays)-1,1-NETWORKDAYS.INTL(Tasks[[#This Row],[Start]],Tasks[[#This Row],[Planned Start]],WorkWeek,Holidays)))</f>
        <v/>
      </c>
      <c r="AT71" s="62" t="str">
        <f aca="false">IF(Tasks[[#This Row],[Task Name]]="","",IF(Tasks[[#This Row],[_IsSummary]],MIN(INDEX(Tasks[_LeafLateStart],Tasks[[#This Row],[_Row]]+1):INDEX(Tasks[_LeafLateStart],Tasks[[#This Row],[_Row]]+Tasks[[#This Row],[_Descendants]])),Tasks[[#This Row],[_LeafLateStart]]))</f>
        <v/>
      </c>
      <c r="AU71" s="62" t="str">
        <f aca="false">IF(Tasks[[#This Row],[Task Name]]="","",IF(Tasks[[#This Row],[_IsSummary]],MAX(INDEX(Tasks[_LeafLateFinish],Tasks[[#This Row],[_Row]]+1):INDEX(Tasks[_LeafLateFinish],Tasks[[#This Row],[_Row]]+Tasks[[#This Row],[_Descendants]])),Tasks[[#This Row],[_LeafLateFinish]]))</f>
        <v/>
      </c>
      <c r="AV71" s="46"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4"/>
      <c r="BA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5"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6"/>
      <c r="BJ71" s="22"/>
      <c r="BK71" s="46" t="str">
        <f aca="false">IF(OR(Tasks[[#This Row],[Task Name]]="",Tasks[[#This Row],[Baseline Duration]]=""),"",Tasks[[#This Row],[_SpanDays]]-N(Tasks[[#This Row],[Baseline Duration]]))</f>
        <v/>
      </c>
      <c r="BL71" s="85" t="str">
        <f aca="false">IF(OR(Tasks[[#This Row],[Task Name]]="",Tasks[[#This Row],[Baseline Work]]=""),"",Tasks[[#This Row],[Work]]-N(Tasks[[#This Row],[Baseline Work]]))</f>
        <v/>
      </c>
      <c r="BM71" s="62" t="str">
        <f aca="false">IF(Tasks[[#This Row],[Task Name]]="","",IF(OR(TakeBaseline="Yes",N(Tasks[[#This Row],[Baseline Start]])=0),Tasks[[#This Row],[Start]],Tasks[[#This Row],[Baseline Start]]))</f>
        <v/>
      </c>
      <c r="BN71" s="62"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5" t="str">
        <f aca="false">IF(Tasks[[#This Row],[Task Name]]="","",IF(OR(TakeBaseline="Yes",N(Tasks[[#This Row],[Baseline Work]])=0),Tasks[[#This Row],[Work]],Tasks[[#This Row],[Baseline Work]]))</f>
        <v/>
      </c>
      <c r="BQ71" s="7"/>
      <c r="BR71" s="7"/>
      <c r="BS71" s="22"/>
      <c r="BT71" s="87"/>
      <c r="BU71" s="42" t="str">
        <f aca="false">IF(Tasks[[#This Row],[Task Name]]="","",MAX(1,N(Tasks[[#This Row],[Level]])))</f>
        <v/>
      </c>
      <c r="BV71" s="42" t="n">
        <f aca="false">ROW()-ROW(Tasks[[#Headers],[ID]])</f>
        <v>66</v>
      </c>
      <c r="BW71" s="42" t="n">
        <f aca="false">IF(OR(Tasks[[#This Row],[Task Name]]="",Tasks[[#This Row],[_Level]]&lt;=1),0,IFERROR(LOOKUP(2,1/(Tasks[[#Headers],[_Level]]:Tasks[[#This Row],[_Level]]=Tasks[[#This Row],[_Level]]-1),ROW(Tasks[[#Headers],[_Level]]:Tasks[[#This Row],[_Level]])),0))</f>
        <v>0</v>
      </c>
      <c r="BX71" s="42" t="n">
        <f aca="false">IFERROR(N(INDEX(Tasks[_Level],Tasks[[#This Row],[_Row]]+1)),0)</f>
        <v>0</v>
      </c>
      <c r="BY71" s="88" t="b">
        <f aca="false">AND(Tasks[[#This Row],[Task Name]]&lt;&gt;"",Tasks[[#This Row],[_NextLevel]]&gt;Tasks[[#This Row],[_Level]])</f>
        <v>0</v>
      </c>
      <c r="BZ71" s="42" t="n">
        <f aca="false">IF(Tasks[[#This Row],[_IsSummary]],COUNTIF(Tasks[WBS],Tasks[[#This Row],[WBS]]&amp;".*"),0)</f>
        <v>0</v>
      </c>
      <c r="CA71" s="42" t="n">
        <f aca="false">IF(AND(Tasks[[#This Row],[Task Name]]&lt;&gt;"",NOT(Tasks[[#This Row],[_IsSummary]])),1,0)</f>
        <v>0</v>
      </c>
      <c r="CB71" s="42" t="n">
        <f aca="false">IF(N(Tasks[[#This Row],[_Pred1UID]])=0,0,IFERROR(MATCH(Tasks[[#This Row],[_Pred1UID]],Tasks[UID],0),-1))</f>
        <v>0</v>
      </c>
      <c r="CC71" s="42" t="n">
        <f aca="false">IF(N(Tasks[[#This Row],[_Pred2UID]])=0,0,IFERROR(MATCH(Tasks[[#This Row],[_Pred2UID]],Tasks[UID],0),-1))</f>
        <v>0</v>
      </c>
      <c r="CD71" s="42" t="n">
        <f aca="false">IF(N(Tasks[[#This Row],[_Pred3UID]])=0,0,IFERROR(MATCH(Tasks[[#This Row],[_Pred3UID]],Tasks[UID],0),-1))</f>
        <v>0</v>
      </c>
      <c r="CE71" s="42" t="n">
        <f aca="false">IF(N(Tasks[[#This Row],[_Pred4UID]])=0,0,IFERROR(MATCH(Tasks[[#This Row],[_Pred4UID]],Tasks[UID],0),-1))</f>
        <v>0</v>
      </c>
      <c r="CF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1" s="89" t="n">
        <f aca="false">IF(OR(Tasks[[#This Row],[_ConstraintCode]]=2,Tasks[[#This Row],[_ConstraintCode]]=3,Tasks[[#This Row],[_ConstraintCode]]=4,Tasks[[#This Row],[_ConstraintCode]]=6),Tasks[[#This Row],[_ConstraintStart]],0)</f>
        <v>0</v>
      </c>
      <c r="CI71" s="89" t="n">
        <f aca="false">IF(OR(Tasks[[#This Row],[_ConstraintCode]]=2,Tasks[[#This Row],[_ConstraintCode]]=3,Tasks[[#This Row],[_ConstraintCode]]=5,Tasks[[#This Row],[_ConstraintCode]]=7),Tasks[[#This Row],[_ConstraintStart]],2958465)</f>
        <v>2958465</v>
      </c>
      <c r="CJ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1" s="89" t="str">
        <f aca="false">IF(NOT(Tasks[[#This Row],[_IsLeaf]]=1),"",IF(N(Tasks[[#This Row],[_Days]])&lt;=0,Tasks[[#This Row],[_LeafCalcStart]],WORKDAY.INTL(Tasks[[#This Row],[_LeafCalcStart]],Tasks[[#This Row],[_Days]]-1,WorkWeek,Holidays)))</f>
        <v/>
      </c>
      <c r="CL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1" s="42" t="str">
        <f aca="false">IF(Tasks[[#This Row],[_Predecessors]]="","",TRIM(MID(SUBSTITUTE(SUBSTITUTE(SUBSTITUTE(UPPER(Tasks[[#This Row],[_Predecessors]]),";",",")," ",""),",",REPT(" ",99)),1,99)))</f>
        <v/>
      </c>
      <c r="CO71" s="42" t="str">
        <f aca="false">IF(Tasks[[#This Row],[_Pred1Text]]="","",IFERROR(VALUE(LEFT(Tasks[[#This Row],[_Pred1Text]],MIN(FIND("F",Tasks[[#This Row],[_Pred1Text]]&amp;"F"),FIND("S",Tasks[[#This Row],[_Pred1Text]]&amp;"S"),FIND("+",Tasks[[#This Row],[_Pred1Text]]&amp;"+"),FIND("-",Tasks[[#This Row],[_Pred1Text]]&amp;"-"))-1)),""))</f>
        <v/>
      </c>
      <c r="CP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1" s="42" t="str">
        <f aca="false">IF(Tasks[[#This Row],[_Pred1Text]]="","",TRIM(MID(SUBSTITUTE(SUBSTITUTE(SUBSTITUTE(UPPER(Tasks[[#This Row],[_Predecessors]]),";",",")," ",""),",",REPT(" ",99)),100,99)))</f>
        <v/>
      </c>
      <c r="CS71" s="42" t="str">
        <f aca="false">IF(Tasks[[#This Row],[_Pred2Text]]="","",IFERROR(VALUE(LEFT(Tasks[[#This Row],[_Pred2Text]],MIN(FIND("F",Tasks[[#This Row],[_Pred2Text]]&amp;"F"),FIND("S",Tasks[[#This Row],[_Pred2Text]]&amp;"S"),FIND("+",Tasks[[#This Row],[_Pred2Text]]&amp;"+"),FIND("-",Tasks[[#This Row],[_Pred2Text]]&amp;"-"))-1)),""))</f>
        <v/>
      </c>
      <c r="CT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1" s="42" t="str">
        <f aca="false">IF(Tasks[[#This Row],[_Pred2Text]]="","",TRIM(MID(SUBSTITUTE(SUBSTITUTE(SUBSTITUTE(UPPER(Tasks[[#This Row],[_Predecessors]]),";",",")," ",""),",",REPT(" ",99)),199,99)))</f>
        <v/>
      </c>
      <c r="CW71" s="42" t="str">
        <f aca="false">IF(Tasks[[#This Row],[_Pred3Text]]="","",IFERROR(VALUE(LEFT(Tasks[[#This Row],[_Pred3Text]],MIN(FIND("F",Tasks[[#This Row],[_Pred3Text]]&amp;"F"),FIND("S",Tasks[[#This Row],[_Pred3Text]]&amp;"S"),FIND("+",Tasks[[#This Row],[_Pred3Text]]&amp;"+"),FIND("-",Tasks[[#This Row],[_Pred3Text]]&amp;"-"))-1)),""))</f>
        <v/>
      </c>
      <c r="CX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1" s="42" t="str">
        <f aca="false">IF(Tasks[[#This Row],[_Pred3Text]]="","",TRIM(MID(SUBSTITUTE(SUBSTITUTE(SUBSTITUTE(UPPER(Tasks[[#This Row],[_Predecessors]]),";",",")," ",""),",",REPT(" ",99)),298,99)))</f>
        <v/>
      </c>
      <c r="DA71" s="42" t="str">
        <f aca="false">IF(Tasks[[#This Row],[_Pred4Text]]="","",IFERROR(VALUE(LEFT(Tasks[[#This Row],[_Pred4Text]],MIN(FIND("F",Tasks[[#This Row],[_Pred4Text]]&amp;"F"),FIND("S",Tasks[[#This Row],[_Pred4Text]]&amp;"S"),FIND("+",Tasks[[#This Row],[_Pred4Text]]&amp;"+"),FIND("-",Tasks[[#This Row],[_Pred4Text]]&amp;"-"))-1)),""))</f>
        <v/>
      </c>
      <c r="DB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1" s="42" t="str">
        <f aca="false">IF(OR(Tasks[[#This Row],[Task Name]]="",Tasks[[#This Row],[_Resources]]=""),"",TRIM(MID(SUBSTITUTE(Tasks[[#This Row],[_Resources]],",",REPT(" ",99)),1,99)))</f>
        <v/>
      </c>
      <c r="DE71" s="42" t="str">
        <f aca="false">IF(Tasks[[#This Row],[_Res1Text]]="","",TRIM(MID(SUBSTITUTE(Tasks[[#This Row],[_Resources]],",",REPT(" ",99)),100,99)))</f>
        <v/>
      </c>
      <c r="DF71" s="42" t="str">
        <f aca="false">IF(Tasks[[#This Row],[_Res2Text]]="","",TRIM(MID(SUBSTITUTE(Tasks[[#This Row],[_Resources]],",",REPT(" ",99)),199,99)))</f>
        <v/>
      </c>
      <c r="DG71" s="42" t="str">
        <f aca="false">IF(Tasks[[#This Row],[_Res3Text]]="","",TRIM(MID(SUBSTITUTE(Tasks[[#This Row],[_Resources]],",",REPT(" ",99)),298,99)))</f>
        <v/>
      </c>
      <c r="DH71" s="42" t="n">
        <f aca="false">IF(Tasks[[#This Row],[_Res1Text]]="",0,IFERROR(MATCH(TRIM(LEFT(Tasks[[#This Row],[_Res1Text]],FIND("[",Tasks[[#This Row],[_Res1Text]]&amp;"[")-1)),res_Name,0),IFERROR(MATCH(TRIM(LEFT(Tasks[[#This Row],[_Res1Text]],FIND("[",Tasks[[#This Row],[_Res1Text]]&amp;"[")-1)),res_Initials,0),0)))</f>
        <v>0</v>
      </c>
      <c r="DI71" s="42" t="n">
        <f aca="false">IF(Tasks[[#This Row],[_Res2Text]]="",0,IFERROR(MATCH(TRIM(LEFT(Tasks[[#This Row],[_Res2Text]],FIND("[",Tasks[[#This Row],[_Res2Text]]&amp;"[")-1)),res_Name,0),IFERROR(MATCH(TRIM(LEFT(Tasks[[#This Row],[_Res2Text]],FIND("[",Tasks[[#This Row],[_Res2Text]]&amp;"[")-1)),res_Initials,0),0)))</f>
        <v>0</v>
      </c>
      <c r="DJ71" s="42" t="n">
        <f aca="false">IF(Tasks[[#This Row],[_Res3Text]]="",0,IFERROR(MATCH(TRIM(LEFT(Tasks[[#This Row],[_Res3Text]],FIND("[",Tasks[[#This Row],[_Res3Text]]&amp;"[")-1)),res_Name,0),IFERROR(MATCH(TRIM(LEFT(Tasks[[#This Row],[_Res3Text]],FIND("[",Tasks[[#This Row],[_Res3Text]]&amp;"[")-1)),res_Initials,0),0)))</f>
        <v>0</v>
      </c>
      <c r="DK71" s="42" t="n">
        <f aca="false">IF(Tasks[[#This Row],[_Res4Text]]="",0,IFERROR(MATCH(TRIM(LEFT(Tasks[[#This Row],[_Res4Text]],FIND("[",Tasks[[#This Row],[_Res4Text]]&amp;"[")-1)),res_Name,0),IFERROR(MATCH(TRIM(LEFT(Tasks[[#This Row],[_Res4Text]],FIND("[",Tasks[[#This Row],[_Res4Text]]&amp;"[")-1)),res_Initials,0),0)))</f>
        <v>0</v>
      </c>
      <c r="DL71" s="42" t="str">
        <f aca="false">IF(Tasks[[#This Row],[_Res1Text]]="","",IF(Tasks[[#This Row],[_Res1Row]]&gt;0,INDEX(res_Name,Tasks[[#This Row],[_Res1Row]]),TRIM(LEFT(Tasks[[#This Row],[_Res1Text]],FIND("[",Tasks[[#This Row],[_Res1Text]]&amp;"[")-1))))</f>
        <v/>
      </c>
      <c r="DM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1" s="42" t="n">
        <f aca="false">IF(NOT(Tasks[[#This Row],[_IsLeaf]]=1),0,(Tasks[[#This Row],[_Resource1]]&lt;&gt;"")+(Tasks[[#This Row],[_Res2]]&lt;&gt;"")+(Tasks[[#This Row],[_Res3]]&lt;&gt;"")+(Tasks[[#This Row],[_Res4]]&lt;&gt;""))</f>
        <v>0</v>
      </c>
      <c r="DO71" s="42" t="str">
        <f aca="false">IF(Tasks[[#This Row],[_Res2Text]]="","",IF(Tasks[[#This Row],[_Res2Row]]&gt;0,INDEX(res_Name,Tasks[[#This Row],[_Res2Row]]),TRIM(LEFT(Tasks[[#This Row],[_Res2Text]],FIND("[",Tasks[[#This Row],[_Res2Text]]&amp;"[")-1))))</f>
        <v/>
      </c>
      <c r="DP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1" s="42" t="n">
        <f aca="false">IF(OR(NOT(Tasks[[#This Row],[_IsLeaf]]=1),Tasks[[#This Row],[_Res2Row]]=0),0,N(Tasks[[#This Row],[_Days]])*HoursPerDay*IF(Tasks[[#This Row],[_Res2Units]]="",DefaultUnits,Tasks[[#This Row],[_Res2Units]]))</f>
        <v>0</v>
      </c>
      <c r="DR71" s="42" t="n">
        <f aca="false">IF(AND(AND(Tasks[[#This Row],[_IsLeaf]]=1,Tasks[[#This Row],[_LeafTotalWork]]&gt;0),Tasks[[#This Row],[_Res2Work]]&gt;0),Tasks[[#This Row],[_Res2Work]]/(Tasks[[#This Row],[_FinishWorkday]]-Tasks[[#This Row],[_StartWorkday]]+1),0)</f>
        <v>0</v>
      </c>
      <c r="DS71" s="42" t="n">
        <f aca="false">Tasks[[#This Row],[_Res2WorkPerWD]]*MAX(0,Tasks[[#This Row],[_StartWorkday]]-1)</f>
        <v>0</v>
      </c>
      <c r="DT71" s="42" t="n">
        <f aca="false">Tasks[[#This Row],[_Res2Work]]*Tasks[[#This Row],[_LeafProgress]]</f>
        <v>0</v>
      </c>
      <c r="DU71" s="42" t="str">
        <f aca="false">IF(Tasks[[#This Row],[_Res3Text]]="","",IF(Tasks[[#This Row],[_Res3Row]]&gt;0,INDEX(res_Name,Tasks[[#This Row],[_Res3Row]]),TRIM(LEFT(Tasks[[#This Row],[_Res3Text]],FIND("[",Tasks[[#This Row],[_Res3Text]]&amp;"[")-1))))</f>
        <v/>
      </c>
      <c r="DV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1" s="42" t="n">
        <f aca="false">IF(OR(NOT(Tasks[[#This Row],[_IsLeaf]]=1),Tasks[[#This Row],[_Res3Row]]=0),0,N(Tasks[[#This Row],[_Days]])*HoursPerDay*IF(Tasks[[#This Row],[_Res3Units]]="",DefaultUnits,Tasks[[#This Row],[_Res3Units]]))</f>
        <v>0</v>
      </c>
      <c r="DX71" s="42" t="n">
        <f aca="false">IF(AND(AND(Tasks[[#This Row],[_IsLeaf]]=1,Tasks[[#This Row],[_LeafTotalWork]]&gt;0),Tasks[[#This Row],[_Res3Work]]&gt;0),Tasks[[#This Row],[_Res3Work]]/(Tasks[[#This Row],[_FinishWorkday]]-Tasks[[#This Row],[_StartWorkday]]+1),0)</f>
        <v>0</v>
      </c>
      <c r="DY71" s="42" t="n">
        <f aca="false">Tasks[[#This Row],[_Res3WorkPerWD]]*MAX(0,Tasks[[#This Row],[_StartWorkday]]-1)</f>
        <v>0</v>
      </c>
      <c r="DZ71" s="42" t="n">
        <f aca="false">Tasks[[#This Row],[_Res3Work]]*Tasks[[#This Row],[_LeafProgress]]</f>
        <v>0</v>
      </c>
      <c r="EA71" s="42" t="str">
        <f aca="false">IF(Tasks[[#This Row],[_Res4Text]]="","",IF(Tasks[[#This Row],[_Res4Row]]&gt;0,INDEX(res_Name,Tasks[[#This Row],[_Res4Row]]),TRIM(LEFT(Tasks[[#This Row],[_Res4Text]],FIND("[",Tasks[[#This Row],[_Res4Text]]&amp;"[")-1))))</f>
        <v/>
      </c>
      <c r="EB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1" s="42" t="n">
        <f aca="false">IF(OR(NOT(Tasks[[#This Row],[_IsLeaf]]=1),Tasks[[#This Row],[_Res4Row]]=0),0,N(Tasks[[#This Row],[_Days]])*HoursPerDay*IF(Tasks[[#This Row],[_Res4Units]]="",DefaultUnits,Tasks[[#This Row],[_Res4Units]]))</f>
        <v>0</v>
      </c>
      <c r="ED71" s="42" t="n">
        <f aca="false">IF(AND(AND(Tasks[[#This Row],[_IsLeaf]]=1,Tasks[[#This Row],[_LeafTotalWork]]&gt;0),Tasks[[#This Row],[_Res4Work]]&gt;0),Tasks[[#This Row],[_Res4Work]]/(Tasks[[#This Row],[_FinishWorkday]]-Tasks[[#This Row],[_StartWorkday]]+1),0)</f>
        <v>0</v>
      </c>
      <c r="EE71" s="42" t="n">
        <f aca="false">Tasks[[#This Row],[_Res4WorkPerWD]]*MAX(0,Tasks[[#This Row],[_StartWorkday]]-1)</f>
        <v>0</v>
      </c>
      <c r="EF71" s="42" t="n">
        <f aca="false">Tasks[[#This Row],[_Res4Work]]*Tasks[[#This Row],[_LeafProgress]]</f>
        <v>0</v>
      </c>
      <c r="EG71" s="42" t="n">
        <f aca="false">IF(ISNUMBER(Tasks[[#This Row],[% Complete]]),Tasks[[#This Row],[% Complete]],IF(Tasks[[#This Row],[Stage]]="",0,IFERROR(INDEX(stg_Pct,MATCH(Tasks[[#This Row],[Stage]],stg_Name,0)),0)))</f>
        <v>0</v>
      </c>
      <c r="EH71" s="42" t="n">
        <f aca="false">IF(NOT(Tasks[[#This Row],[_IsLeaf]]=1),0,IF(N(Tasks[[#This Row],[Actual Finish]])&gt;0,1,MIN(1,Tasks[[#This Row],[_Pct]])))</f>
        <v>0</v>
      </c>
      <c r="EI71" s="42" t="n">
        <f aca="false">IF(OR(NOT(Tasks[[#This Row],[_IsLeaf]]=1),Tasks[[#This Row],[_Res1Row]]=0),0,N(Tasks[[#This Row],[_Days]])*HoursPerDay*IF(Tasks[[#This Row],[_Units1]]="",DefaultUnits,Tasks[[#This Row],[_Units1]]))</f>
        <v>0</v>
      </c>
      <c r="EJ71" s="42" t="n">
        <f aca="false">Tasks[[#This Row],[_LeafWork]]+Tasks[[#This Row],[_Res2Work]]+Tasks[[#This Row],[_Res3Work]]+Tasks[[#This Row],[_Res4Work]]</f>
        <v>0</v>
      </c>
      <c r="EK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1" s="42" t="n">
        <f aca="false">IF(NOT(Tasks[[#This Row],[_IsLeaf]]=1),0,MAX(_xlfn.MAXIFS(Tasks[_Row],Tasks[_Pred1UID],Tasks[[#This Row],[UID]]),_xlfn.MAXIFS(Tasks[_Row],Tasks[_Pred2UID],Tasks[[#This Row],[UID]]),_xlfn.MAXIFS(Tasks[_Row],Tasks[_Pred3UID],Tasks[[#This Row],[UID]]),_xlfn.MAXIFS(Tasks[_Row],Tasks[_Pred4UID],Tasks[[#This Row],[UID]])))</f>
        <v>0</v>
      </c>
      <c r="ET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1" s="89" t="str">
        <f aca="false">IF(NOT(Tasks[[#This Row],[_IsLeaf]]=1),"",IF(N(Tasks[[#This Row],[_Days]])&lt;=0,Tasks[[#This Row],[_LeafLateFinish]],WORKDAY.INTL(Tasks[[#This Row],[_LeafLateFinish]],-(Tasks[[#This Row],[_Days]]-1),WorkWeek,Holidays)))</f>
        <v/>
      </c>
      <c r="EW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1" s="88" t="b">
        <f aca="false">AND(Tasks[[#This Row],[_IsLeaf]]=1,Tasks[[#This Row],[_LeafProgress]]&lt;1,N(Tasks[[#This Row],[_LeafTotalSlack]])&lt;=CriticalSlackDays)</f>
        <v>0</v>
      </c>
      <c r="EY71" s="42" t="n">
        <f aca="false">IF(AND(Tasks[[#This Row],[_IsLeaf]]=1,Tasks[[#This Row],[_ConstraintCode]]=1,Tasks[[#This Row],[Mode]]&lt;&gt;"Manual",N(Tasks[[#This Row],[Actual Start]])=0),MAX(0,N(Tasks[[#This Row],[Free Slack]])),0)</f>
        <v>0</v>
      </c>
      <c r="EZ71" s="89" t="str">
        <f aca="false">IF(NOT(Tasks[[#This Row],[_IsLeaf]]=1),"",IF(Tasks[[#This Row],[_AlapShift]]=0,Tasks[[#This Row],[_LeafCalcStart]],WORKDAY.INTL(Tasks[[#This Row],[_LeafCalcStart]],Tasks[[#This Row],[_AlapShift]],WorkWeek,Holidays)))</f>
        <v/>
      </c>
      <c r="FA71" s="89" t="str">
        <f aca="false">IF(NOT(Tasks[[#This Row],[_IsLeaf]]=1),"",IF(Tasks[[#This Row],[_AlapShift]]=0,Tasks[[#This Row],[_LeafCalcFinish]],WORKDAY.INTL(Tasks[[#This Row],[_LeafCalcFinish]],Tasks[[#This Row],[_AlapShift]],WorkWeek,Holidays)))</f>
        <v/>
      </c>
      <c r="FB71" s="89" t="str">
        <f aca="false">IF(NOT(Tasks[[#This Row],[_IsLeaf]]=1),"",IF(Tasks[[#This Row],[_AlapShift]]=0,Tasks[[#This Row],[_LeafFcstStart]],WORKDAY.INTL(Tasks[[#This Row],[_LeafFcstStart]],Tasks[[#This Row],[_AlapShift]],WorkWeek,Holidays)))</f>
        <v/>
      </c>
      <c r="FC71" s="89" t="str">
        <f aca="false">IF(NOT(Tasks[[#This Row],[_IsLeaf]]=1),"",IF(Tasks[[#This Row],[_AlapShift]]=0,Tasks[[#This Row],[_LeafFcstFinish]],WORKDAY.INTL(Tasks[[#This Row],[_LeafFcstFinish]],Tasks[[#This Row],[_AlapShift]],WorkWeek,Holidays)))</f>
        <v/>
      </c>
      <c r="FD71" s="89" t="str">
        <f aca="false">IF(Tasks[[#This Row],[Task Name]]="","",IF(Tasks[[#This Row],[_IsSummary]],MIN(INDEX(Tasks[_ShownCalcStart],Tasks[[#This Row],[_Row]]+1):INDEX(Tasks[_ShownCalcStart],Tasks[[#This Row],[_Row]]+Tasks[[#This Row],[_Descendants]])),Tasks[[#This Row],[_ShownCalcStart]]))</f>
        <v/>
      </c>
      <c r="FE71" s="89" t="str">
        <f aca="false">IF(Tasks[[#This Row],[Task Name]]="","",IF(Tasks[[#This Row],[_IsSummary]],MAX(INDEX(Tasks[_ShownCalcFinish],Tasks[[#This Row],[_Row]]+1):INDEX(Tasks[_ShownCalcFinish],Tasks[[#This Row],[_Row]]+Tasks[[#This Row],[_Descendants]])),Tasks[[#This Row],[_ShownCalcFinish]]))</f>
        <v/>
      </c>
      <c r="FF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1" s="42" t="n">
        <f aca="false">IF(AND(Tasks[[#This Row],[_IsLeaf]]=1,Tasks[[#This Row],[_LeafTotalWork]]&gt;0),NETWORKDAYS.INTL(ProjectStart,Tasks[[#This Row],[_ShownFcstStart]],WorkWeek,Holidays),0)</f>
        <v>0</v>
      </c>
      <c r="FS71" s="42" t="n">
        <f aca="false">IF(AND(Tasks[[#This Row],[_IsLeaf]]=1,Tasks[[#This Row],[_LeafTotalWork]]&gt;0),MAX(Tasks[[#This Row],[_StartWorkday]],NETWORKDAYS.INTL(ProjectStart,Tasks[[#This Row],[_ShownFcstFinish]],WorkWeek,Holidays)),0)</f>
        <v>0</v>
      </c>
      <c r="FT71" s="42" t="n">
        <f aca="false">IF(AND(Tasks[[#This Row],[_IsLeaf]]=1,Tasks[[#This Row],[_LeafTotalWork]]&gt;0),Tasks[[#This Row],[_LeafWork]]/(Tasks[[#This Row],[_FinishWorkday]]-Tasks[[#This Row],[_StartWorkday]]+1),0)</f>
        <v>0</v>
      </c>
      <c r="FU71" s="42" t="n">
        <f aca="false">Tasks[[#This Row],[_WorkPerWorkday]]*(Tasks[[#This Row],[_StartWorkday]]-1)</f>
        <v>-0</v>
      </c>
      <c r="FV71" s="42" t="n">
        <f aca="false">IF(Tasks[[#This Row],[_IsLeaf]]=1,MAX(N(Tasks[[#This Row],[_Days]]),0.1),0)</f>
        <v>0</v>
      </c>
      <c r="FW71" s="42" t="n">
        <f aca="false">Tasks[[#This Row],[_WeightDur]]*Tasks[[#This Row],[_LeafProgress]]</f>
        <v>0</v>
      </c>
      <c r="FX71" s="42" t="n">
        <f aca="false">Tasks[[#This Row],[_WeightDur]]*Tasks[[#This Row],[_PlannedPct]]</f>
        <v>0</v>
      </c>
      <c r="FY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1" s="42" t="str">
        <f aca="false">IF(AND(Tasks[[#This Row],[_IsLeaf]]=1,N(Tasks[[#This Row],[_Days]])=0,Tasks[[#This Row],[_LeafProgress]]&lt;1),Tasks[[#This Row],[_ShownFcstFinish]]+Tasks[[#This Row],[_Row]]/100000,"")</f>
        <v/>
      </c>
      <c r="GA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1" s="42" t="str">
        <f aca="false">IF(Tasks[[#This Row],[Task Name]]="","",LEFT(Tasks[[#This Row],[WBS]],FIND(".",Tasks[[#This Row],[WBS]]&amp;".")-1))</f>
        <v/>
      </c>
      <c r="GC71" s="42" t="str">
        <f aca="false">IF(AND(Tasks[[#This Row],[Task Name]]&lt;&gt;"",Tasks[[#This Row],[_Level]]=1),Tasks[[#This Row],[_Row]],"")</f>
        <v/>
      </c>
      <c r="GD71" s="42" t="str">
        <f aca="false">IF(AND(Tasks[[#This Row],[_IsLeaf]]=1,N(Tasks[[#This Row],[_Days]])=0),Tasks[[#This Row],[Planned Finish]]+Tasks[[#This Row],[_Row]]/100000,"")</f>
        <v/>
      </c>
      <c r="GE71" s="42" t="str">
        <f aca="false">IF(AND(Tasks[[#This Row],[_IsLeaf]]=1,Tasks[[#This Row],[_LeafProgress]]&lt;1,OR(N(Tasks[[#This Row],[Finish Var]])&gt;0,Tasks[[#This Row],[Status]]="Late Start")),MAX(0,Tasks[[#This Row],[Finish Var]])+1-Tasks[[#This Row],[_Row]]/1000000,"")</f>
        <v/>
      </c>
      <c r="GF71" s="42" t="str">
        <f aca="false">IF(AND(Tasks[[#This Row],[_IsLeaf]]=1,N(Tasks[[#This Row],[Actual Start]])=0,Tasks[[#This Row],[_ShownFcstStart]]&gt;=StatusDate,Tasks[[#This Row],[_ShownFcstStart]]&lt;=LookaheadEnd),Tasks[[#This Row],[_ShownFcstStart]]+Tasks[[#This Row],[_Row]]/100000,"")</f>
        <v/>
      </c>
      <c r="GG71" s="42" t="str">
        <f aca="false">IF(AND(Tasks[[#This Row],[_IsLeaf]]=1,Tasks[[#This Row],[_LeafProgress]]&lt;1,Tasks[[#This Row],[_ShownFcstFinish]]&gt;=StatusDate,Tasks[[#This Row],[_ShownFcstFinish]]&lt;=LookaheadEnd),Tasks[[#This Row],[_ShownFcstFinish]]+Tasks[[#This Row],[_Row]]/100000,"")</f>
        <v/>
      </c>
      <c r="GH71" s="42" t="str">
        <f aca="false">IF(Tasks[[#This Row],[_LeafCritical]],Tasks[[#This Row],[_ShownFcstStart]]+Tasks[[#This Row],[_Row]]/100000,"")</f>
        <v/>
      </c>
      <c r="GI71" s="42" t="n">
        <f aca="false">Tasks[[#This Row],[_LeafWork]]*Tasks[[#This Row],[_LeafProgress]]</f>
        <v>0</v>
      </c>
      <c r="GJ71" s="89" t="str">
        <f aca="false">IF(AND(Tasks[[#This Row],[_IsLeaf]]=1,Tasks[[#This Row],[_LeafProgress]]&gt;=1),IF(N(Tasks[[#This Row],[Actual Finish]])&gt;0,Tasks[[#This Row],[Actual Finish]],Tasks[[#This Row],[_ShownFcstFinish]]),"")</f>
        <v/>
      </c>
      <c r="GK71" s="42" t="n">
        <f aca="false">IF(Tasks[[#This Row],[_IsLeaf]]=1,N(Tasks[[#This Row],[Story Points]]),0)</f>
        <v>0</v>
      </c>
      <c r="GL71" s="42" t="str">
        <f aca="false">""</f>
        <v/>
      </c>
      <c r="GM71" s="88" t="b">
        <f aca="false">IF(Tasks[[#This Row],[Task Name]]="",FALSE(),AND(Tasks[[#This Row],[_IsLeaf]]=1,N(Tasks[[#This Row],[_Days]])=0))</f>
        <v>0</v>
      </c>
      <c r="GN71" s="89" t="n">
        <f aca="false">IF(Tasks[[#This Row],[Task Name]]="",0,IF(AND(Tasks[[#This Row],[_IsLeaf]]=1,NOT(Tasks[[#This Row],[_IsMilestone]]),N(Tasks[[#This Row],[Progress]])&gt;0),Tasks[[#This Row],[Start]],0))</f>
        <v>0</v>
      </c>
      <c r="GO71" s="89" t="n">
        <f aca="false">IF(Tasks[[#This Row],[_DoneFrom]]=0,0,IF(Tasks[[#This Row],[Progress]]&gt;=1,Tasks[[#This Row],[Finish]],MAX(Tasks[[#This Row],[_DoneFrom]],Tasks[[#This Row],[Start]]+ROUND((Tasks[[#This Row],[Finish]]-Tasks[[#This Row],[Start]]+1)*Tasks[[#This Row],[Progress]],0)-1)))</f>
        <v>0</v>
      </c>
      <c r="GP71" s="89" t="n">
        <f aca="false">IF(Tasks[[#This Row],[Task Name]]="",0,IF(OR(NOT(Tasks[[#This Row],[_IsLeaf]]=1),Tasks[[#This Row],[_IsMilestone]],N(Tasks[[#This Row],[Progress]])&gt;=1),0,IF(Tasks[[#This Row],[_DoneTo]]&gt;0,Tasks[[#This Row],[_DoneTo]]+1,Tasks[[#This Row],[Start]])))</f>
        <v>0</v>
      </c>
      <c r="GQ71" s="89" t="n">
        <f aca="false">IF(Tasks[[#This Row],[_RemFrom]]=0,0,Tasks[[#This Row],[Finish]])</f>
        <v>0</v>
      </c>
      <c r="GR71" s="88" t="b">
        <f aca="false">IF(Tasks[[#This Row],[Task Name]]="",FALSE(),OR(NOT(BaselineSet),N(Tasks[[#This Row],[Baseline Start]])&gt;0))</f>
        <v>0</v>
      </c>
      <c r="GS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1" s="90" t="str">
        <f aca="false">IF(Tasks[[#This Row],[_IsLeaf]]=1,Tasks[[#This Row],[_Row]],"")</f>
        <v/>
      </c>
      <c r="GW71" s="90" t="str">
        <f aca="false">IFERROR(INDEX(Tasks[UID],SMALL(Tasks[_PickKey],Tasks[[#This Row],[_Row]]))&amp;" "&amp;INDEX(Tasks[Task Name],SMALL(Tasks[_PickKey],Tasks[[#This Row],[_Row]])),"")</f>
        <v/>
      </c>
      <c r="GX71" s="42" t="str">
        <f aca="false">IF(Tasks[[#This Row],[Task Name]]="","",IF(Tasks[[#This Row],[_IsSummary]],NETWORKDAYS.INTL(Tasks[[#This Row],[Start]],Tasks[[#This Row],[Finish]],WorkWeek,Holidays),N(Tasks[[#This Row],[_Days]])))</f>
        <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3"/>
      <c r="U72" s="23"/>
      <c r="V72" s="83"/>
      <c r="W72" s="23"/>
      <c r="X72" s="83"/>
      <c r="Y72" s="23"/>
      <c r="Z72" s="83"/>
      <c r="AA72" s="23"/>
      <c r="AB72" s="23"/>
      <c r="AC72" s="7"/>
      <c r="AD72" s="7"/>
      <c r="AE72" s="62" t="str">
        <f aca="false">IF(Tasks[[#This Row],[Task Name]]="","",IF(Tasks[[#This Row],[_IsSummary]],MIN(INDEX(Tasks[_ShownFcstStart],Tasks[[#This Row],[_Row]]+1):INDEX(Tasks[_ShownFcstStart],Tasks[[#This Row],[_Row]]+Tasks[[#This Row],[_Descendants]])),Tasks[[#This Row],[_ShownFcstStart]]))</f>
        <v/>
      </c>
      <c r="AF72" s="62"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2" s="7"/>
      <c r="AK72" s="22"/>
      <c r="AL72" s="23"/>
      <c r="AM72" s="7"/>
      <c r="AN72" s="46"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2" t="str">
        <f aca="false">IF(Tasks[[#This Row],[Task Name]]="","",IF(N(Tasks[[#This Row],[Baseline Start]])&gt;0,Tasks[[#This Row],[Baseline Start]],Tasks[[#This Row],[_CalcStart]]))</f>
        <v/>
      </c>
      <c r="AR72" s="62" t="str">
        <f aca="false">IF(Tasks[[#This Row],[Task Name]]="","",IF(N(Tasks[[#This Row],[Baseline Finish]])&gt;0,Tasks[[#This Row],[Baseline Finish]],Tasks[[#This Row],[_CalcFinish]]))</f>
        <v/>
      </c>
      <c r="AS72" s="46" t="str">
        <f aca="false">IF(Tasks[[#This Row],[Task Name]]="","",IF(Tasks[[#This Row],[Start]]&gt;=Tasks[[#This Row],[Planned Start]],NETWORKDAYS.INTL(Tasks[[#This Row],[Planned Start]],Tasks[[#This Row],[Start]],WorkWeek,Holidays)-1,1-NETWORKDAYS.INTL(Tasks[[#This Row],[Start]],Tasks[[#This Row],[Planned Start]],WorkWeek,Holidays)))</f>
        <v/>
      </c>
      <c r="AT72" s="62" t="str">
        <f aca="false">IF(Tasks[[#This Row],[Task Name]]="","",IF(Tasks[[#This Row],[_IsSummary]],MIN(INDEX(Tasks[_LeafLateStart],Tasks[[#This Row],[_Row]]+1):INDEX(Tasks[_LeafLateStart],Tasks[[#This Row],[_Row]]+Tasks[[#This Row],[_Descendants]])),Tasks[[#This Row],[_LeafLateStart]]))</f>
        <v/>
      </c>
      <c r="AU72" s="62" t="str">
        <f aca="false">IF(Tasks[[#This Row],[Task Name]]="","",IF(Tasks[[#This Row],[_IsSummary]],MAX(INDEX(Tasks[_LeafLateFinish],Tasks[[#This Row],[_Row]]+1):INDEX(Tasks[_LeafLateFinish],Tasks[[#This Row],[_Row]]+Tasks[[#This Row],[_Descendants]])),Tasks[[#This Row],[_LeafLateFinish]]))</f>
        <v/>
      </c>
      <c r="AV72" s="46"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4"/>
      <c r="BA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5"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6"/>
      <c r="BJ72" s="22"/>
      <c r="BK72" s="46" t="str">
        <f aca="false">IF(OR(Tasks[[#This Row],[Task Name]]="",Tasks[[#This Row],[Baseline Duration]]=""),"",Tasks[[#This Row],[_SpanDays]]-N(Tasks[[#This Row],[Baseline Duration]]))</f>
        <v/>
      </c>
      <c r="BL72" s="85" t="str">
        <f aca="false">IF(OR(Tasks[[#This Row],[Task Name]]="",Tasks[[#This Row],[Baseline Work]]=""),"",Tasks[[#This Row],[Work]]-N(Tasks[[#This Row],[Baseline Work]]))</f>
        <v/>
      </c>
      <c r="BM72" s="62" t="str">
        <f aca="false">IF(Tasks[[#This Row],[Task Name]]="","",IF(OR(TakeBaseline="Yes",N(Tasks[[#This Row],[Baseline Start]])=0),Tasks[[#This Row],[Start]],Tasks[[#This Row],[Baseline Start]]))</f>
        <v/>
      </c>
      <c r="BN72" s="62"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5" t="str">
        <f aca="false">IF(Tasks[[#This Row],[Task Name]]="","",IF(OR(TakeBaseline="Yes",N(Tasks[[#This Row],[Baseline Work]])=0),Tasks[[#This Row],[Work]],Tasks[[#This Row],[Baseline Work]]))</f>
        <v/>
      </c>
      <c r="BQ72" s="7"/>
      <c r="BR72" s="7"/>
      <c r="BS72" s="22"/>
      <c r="BT72" s="87"/>
      <c r="BU72" s="42" t="str">
        <f aca="false">IF(Tasks[[#This Row],[Task Name]]="","",MAX(1,N(Tasks[[#This Row],[Level]])))</f>
        <v/>
      </c>
      <c r="BV72" s="42" t="n">
        <f aca="false">ROW()-ROW(Tasks[[#Headers],[ID]])</f>
        <v>67</v>
      </c>
      <c r="BW72" s="42" t="n">
        <f aca="false">IF(OR(Tasks[[#This Row],[Task Name]]="",Tasks[[#This Row],[_Level]]&lt;=1),0,IFERROR(LOOKUP(2,1/(Tasks[[#Headers],[_Level]]:Tasks[[#This Row],[_Level]]=Tasks[[#This Row],[_Level]]-1),ROW(Tasks[[#Headers],[_Level]]:Tasks[[#This Row],[_Level]])),0))</f>
        <v>0</v>
      </c>
      <c r="BX72" s="42" t="n">
        <f aca="false">IFERROR(N(INDEX(Tasks[_Level],Tasks[[#This Row],[_Row]]+1)),0)</f>
        <v>0</v>
      </c>
      <c r="BY72" s="88" t="b">
        <f aca="false">AND(Tasks[[#This Row],[Task Name]]&lt;&gt;"",Tasks[[#This Row],[_NextLevel]]&gt;Tasks[[#This Row],[_Level]])</f>
        <v>0</v>
      </c>
      <c r="BZ72" s="42" t="n">
        <f aca="false">IF(Tasks[[#This Row],[_IsSummary]],COUNTIF(Tasks[WBS],Tasks[[#This Row],[WBS]]&amp;".*"),0)</f>
        <v>0</v>
      </c>
      <c r="CA72" s="42" t="n">
        <f aca="false">IF(AND(Tasks[[#This Row],[Task Name]]&lt;&gt;"",NOT(Tasks[[#This Row],[_IsSummary]])),1,0)</f>
        <v>0</v>
      </c>
      <c r="CB72" s="42" t="n">
        <f aca="false">IF(N(Tasks[[#This Row],[_Pred1UID]])=0,0,IFERROR(MATCH(Tasks[[#This Row],[_Pred1UID]],Tasks[UID],0),-1))</f>
        <v>0</v>
      </c>
      <c r="CC72" s="42" t="n">
        <f aca="false">IF(N(Tasks[[#This Row],[_Pred2UID]])=0,0,IFERROR(MATCH(Tasks[[#This Row],[_Pred2UID]],Tasks[UID],0),-1))</f>
        <v>0</v>
      </c>
      <c r="CD72" s="42" t="n">
        <f aca="false">IF(N(Tasks[[#This Row],[_Pred3UID]])=0,0,IFERROR(MATCH(Tasks[[#This Row],[_Pred3UID]],Tasks[UID],0),-1))</f>
        <v>0</v>
      </c>
      <c r="CE72" s="42" t="n">
        <f aca="false">IF(N(Tasks[[#This Row],[_Pred4UID]])=0,0,IFERROR(MATCH(Tasks[[#This Row],[_Pred4UID]],Tasks[UID],0),-1))</f>
        <v>0</v>
      </c>
      <c r="CF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2" s="89" t="n">
        <f aca="false">IF(OR(Tasks[[#This Row],[_ConstraintCode]]=2,Tasks[[#This Row],[_ConstraintCode]]=3,Tasks[[#This Row],[_ConstraintCode]]=4,Tasks[[#This Row],[_ConstraintCode]]=6),Tasks[[#This Row],[_ConstraintStart]],0)</f>
        <v>0</v>
      </c>
      <c r="CI72" s="89" t="n">
        <f aca="false">IF(OR(Tasks[[#This Row],[_ConstraintCode]]=2,Tasks[[#This Row],[_ConstraintCode]]=3,Tasks[[#This Row],[_ConstraintCode]]=5,Tasks[[#This Row],[_ConstraintCode]]=7),Tasks[[#This Row],[_ConstraintStart]],2958465)</f>
        <v>2958465</v>
      </c>
      <c r="CJ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2" s="89" t="str">
        <f aca="false">IF(NOT(Tasks[[#This Row],[_IsLeaf]]=1),"",IF(N(Tasks[[#This Row],[_Days]])&lt;=0,Tasks[[#This Row],[_LeafCalcStart]],WORKDAY.INTL(Tasks[[#This Row],[_LeafCalcStart]],Tasks[[#This Row],[_Days]]-1,WorkWeek,Holidays)))</f>
        <v/>
      </c>
      <c r="CL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2" s="42" t="str">
        <f aca="false">IF(Tasks[[#This Row],[_Predecessors]]="","",TRIM(MID(SUBSTITUTE(SUBSTITUTE(SUBSTITUTE(UPPER(Tasks[[#This Row],[_Predecessors]]),";",",")," ",""),",",REPT(" ",99)),1,99)))</f>
        <v/>
      </c>
      <c r="CO72" s="42" t="str">
        <f aca="false">IF(Tasks[[#This Row],[_Pred1Text]]="","",IFERROR(VALUE(LEFT(Tasks[[#This Row],[_Pred1Text]],MIN(FIND("F",Tasks[[#This Row],[_Pred1Text]]&amp;"F"),FIND("S",Tasks[[#This Row],[_Pred1Text]]&amp;"S"),FIND("+",Tasks[[#This Row],[_Pred1Text]]&amp;"+"),FIND("-",Tasks[[#This Row],[_Pred1Text]]&amp;"-"))-1)),""))</f>
        <v/>
      </c>
      <c r="CP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2" s="42" t="str">
        <f aca="false">IF(Tasks[[#This Row],[_Pred1Text]]="","",TRIM(MID(SUBSTITUTE(SUBSTITUTE(SUBSTITUTE(UPPER(Tasks[[#This Row],[_Predecessors]]),";",",")," ",""),",",REPT(" ",99)),100,99)))</f>
        <v/>
      </c>
      <c r="CS72" s="42" t="str">
        <f aca="false">IF(Tasks[[#This Row],[_Pred2Text]]="","",IFERROR(VALUE(LEFT(Tasks[[#This Row],[_Pred2Text]],MIN(FIND("F",Tasks[[#This Row],[_Pred2Text]]&amp;"F"),FIND("S",Tasks[[#This Row],[_Pred2Text]]&amp;"S"),FIND("+",Tasks[[#This Row],[_Pred2Text]]&amp;"+"),FIND("-",Tasks[[#This Row],[_Pred2Text]]&amp;"-"))-1)),""))</f>
        <v/>
      </c>
      <c r="CT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2" s="42" t="str">
        <f aca="false">IF(Tasks[[#This Row],[_Pred2Text]]="","",TRIM(MID(SUBSTITUTE(SUBSTITUTE(SUBSTITUTE(UPPER(Tasks[[#This Row],[_Predecessors]]),";",",")," ",""),",",REPT(" ",99)),199,99)))</f>
        <v/>
      </c>
      <c r="CW72" s="42" t="str">
        <f aca="false">IF(Tasks[[#This Row],[_Pred3Text]]="","",IFERROR(VALUE(LEFT(Tasks[[#This Row],[_Pred3Text]],MIN(FIND("F",Tasks[[#This Row],[_Pred3Text]]&amp;"F"),FIND("S",Tasks[[#This Row],[_Pred3Text]]&amp;"S"),FIND("+",Tasks[[#This Row],[_Pred3Text]]&amp;"+"),FIND("-",Tasks[[#This Row],[_Pred3Text]]&amp;"-"))-1)),""))</f>
        <v/>
      </c>
      <c r="CX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2" s="42" t="str">
        <f aca="false">IF(Tasks[[#This Row],[_Pred3Text]]="","",TRIM(MID(SUBSTITUTE(SUBSTITUTE(SUBSTITUTE(UPPER(Tasks[[#This Row],[_Predecessors]]),";",",")," ",""),",",REPT(" ",99)),298,99)))</f>
        <v/>
      </c>
      <c r="DA72" s="42" t="str">
        <f aca="false">IF(Tasks[[#This Row],[_Pred4Text]]="","",IFERROR(VALUE(LEFT(Tasks[[#This Row],[_Pred4Text]],MIN(FIND("F",Tasks[[#This Row],[_Pred4Text]]&amp;"F"),FIND("S",Tasks[[#This Row],[_Pred4Text]]&amp;"S"),FIND("+",Tasks[[#This Row],[_Pred4Text]]&amp;"+"),FIND("-",Tasks[[#This Row],[_Pred4Text]]&amp;"-"))-1)),""))</f>
        <v/>
      </c>
      <c r="DB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2" s="42" t="str">
        <f aca="false">IF(OR(Tasks[[#This Row],[Task Name]]="",Tasks[[#This Row],[_Resources]]=""),"",TRIM(MID(SUBSTITUTE(Tasks[[#This Row],[_Resources]],",",REPT(" ",99)),1,99)))</f>
        <v/>
      </c>
      <c r="DE72" s="42" t="str">
        <f aca="false">IF(Tasks[[#This Row],[_Res1Text]]="","",TRIM(MID(SUBSTITUTE(Tasks[[#This Row],[_Resources]],",",REPT(" ",99)),100,99)))</f>
        <v/>
      </c>
      <c r="DF72" s="42" t="str">
        <f aca="false">IF(Tasks[[#This Row],[_Res2Text]]="","",TRIM(MID(SUBSTITUTE(Tasks[[#This Row],[_Resources]],",",REPT(" ",99)),199,99)))</f>
        <v/>
      </c>
      <c r="DG72" s="42" t="str">
        <f aca="false">IF(Tasks[[#This Row],[_Res3Text]]="","",TRIM(MID(SUBSTITUTE(Tasks[[#This Row],[_Resources]],",",REPT(" ",99)),298,99)))</f>
        <v/>
      </c>
      <c r="DH72" s="42" t="n">
        <f aca="false">IF(Tasks[[#This Row],[_Res1Text]]="",0,IFERROR(MATCH(TRIM(LEFT(Tasks[[#This Row],[_Res1Text]],FIND("[",Tasks[[#This Row],[_Res1Text]]&amp;"[")-1)),res_Name,0),IFERROR(MATCH(TRIM(LEFT(Tasks[[#This Row],[_Res1Text]],FIND("[",Tasks[[#This Row],[_Res1Text]]&amp;"[")-1)),res_Initials,0),0)))</f>
        <v>0</v>
      </c>
      <c r="DI72" s="42" t="n">
        <f aca="false">IF(Tasks[[#This Row],[_Res2Text]]="",0,IFERROR(MATCH(TRIM(LEFT(Tasks[[#This Row],[_Res2Text]],FIND("[",Tasks[[#This Row],[_Res2Text]]&amp;"[")-1)),res_Name,0),IFERROR(MATCH(TRIM(LEFT(Tasks[[#This Row],[_Res2Text]],FIND("[",Tasks[[#This Row],[_Res2Text]]&amp;"[")-1)),res_Initials,0),0)))</f>
        <v>0</v>
      </c>
      <c r="DJ72" s="42" t="n">
        <f aca="false">IF(Tasks[[#This Row],[_Res3Text]]="",0,IFERROR(MATCH(TRIM(LEFT(Tasks[[#This Row],[_Res3Text]],FIND("[",Tasks[[#This Row],[_Res3Text]]&amp;"[")-1)),res_Name,0),IFERROR(MATCH(TRIM(LEFT(Tasks[[#This Row],[_Res3Text]],FIND("[",Tasks[[#This Row],[_Res3Text]]&amp;"[")-1)),res_Initials,0),0)))</f>
        <v>0</v>
      </c>
      <c r="DK72" s="42" t="n">
        <f aca="false">IF(Tasks[[#This Row],[_Res4Text]]="",0,IFERROR(MATCH(TRIM(LEFT(Tasks[[#This Row],[_Res4Text]],FIND("[",Tasks[[#This Row],[_Res4Text]]&amp;"[")-1)),res_Name,0),IFERROR(MATCH(TRIM(LEFT(Tasks[[#This Row],[_Res4Text]],FIND("[",Tasks[[#This Row],[_Res4Text]]&amp;"[")-1)),res_Initials,0),0)))</f>
        <v>0</v>
      </c>
      <c r="DL72" s="42" t="str">
        <f aca="false">IF(Tasks[[#This Row],[_Res1Text]]="","",IF(Tasks[[#This Row],[_Res1Row]]&gt;0,INDEX(res_Name,Tasks[[#This Row],[_Res1Row]]),TRIM(LEFT(Tasks[[#This Row],[_Res1Text]],FIND("[",Tasks[[#This Row],[_Res1Text]]&amp;"[")-1))))</f>
        <v/>
      </c>
      <c r="DM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2" s="42" t="n">
        <f aca="false">IF(NOT(Tasks[[#This Row],[_IsLeaf]]=1),0,(Tasks[[#This Row],[_Resource1]]&lt;&gt;"")+(Tasks[[#This Row],[_Res2]]&lt;&gt;"")+(Tasks[[#This Row],[_Res3]]&lt;&gt;"")+(Tasks[[#This Row],[_Res4]]&lt;&gt;""))</f>
        <v>0</v>
      </c>
      <c r="DO72" s="42" t="str">
        <f aca="false">IF(Tasks[[#This Row],[_Res2Text]]="","",IF(Tasks[[#This Row],[_Res2Row]]&gt;0,INDEX(res_Name,Tasks[[#This Row],[_Res2Row]]),TRIM(LEFT(Tasks[[#This Row],[_Res2Text]],FIND("[",Tasks[[#This Row],[_Res2Text]]&amp;"[")-1))))</f>
        <v/>
      </c>
      <c r="DP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2" s="42" t="n">
        <f aca="false">IF(OR(NOT(Tasks[[#This Row],[_IsLeaf]]=1),Tasks[[#This Row],[_Res2Row]]=0),0,N(Tasks[[#This Row],[_Days]])*HoursPerDay*IF(Tasks[[#This Row],[_Res2Units]]="",DefaultUnits,Tasks[[#This Row],[_Res2Units]]))</f>
        <v>0</v>
      </c>
      <c r="DR72" s="42" t="n">
        <f aca="false">IF(AND(AND(Tasks[[#This Row],[_IsLeaf]]=1,Tasks[[#This Row],[_LeafTotalWork]]&gt;0),Tasks[[#This Row],[_Res2Work]]&gt;0),Tasks[[#This Row],[_Res2Work]]/(Tasks[[#This Row],[_FinishWorkday]]-Tasks[[#This Row],[_StartWorkday]]+1),0)</f>
        <v>0</v>
      </c>
      <c r="DS72" s="42" t="n">
        <f aca="false">Tasks[[#This Row],[_Res2WorkPerWD]]*MAX(0,Tasks[[#This Row],[_StartWorkday]]-1)</f>
        <v>0</v>
      </c>
      <c r="DT72" s="42" t="n">
        <f aca="false">Tasks[[#This Row],[_Res2Work]]*Tasks[[#This Row],[_LeafProgress]]</f>
        <v>0</v>
      </c>
      <c r="DU72" s="42" t="str">
        <f aca="false">IF(Tasks[[#This Row],[_Res3Text]]="","",IF(Tasks[[#This Row],[_Res3Row]]&gt;0,INDEX(res_Name,Tasks[[#This Row],[_Res3Row]]),TRIM(LEFT(Tasks[[#This Row],[_Res3Text]],FIND("[",Tasks[[#This Row],[_Res3Text]]&amp;"[")-1))))</f>
        <v/>
      </c>
      <c r="DV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2" s="42" t="n">
        <f aca="false">IF(OR(NOT(Tasks[[#This Row],[_IsLeaf]]=1),Tasks[[#This Row],[_Res3Row]]=0),0,N(Tasks[[#This Row],[_Days]])*HoursPerDay*IF(Tasks[[#This Row],[_Res3Units]]="",DefaultUnits,Tasks[[#This Row],[_Res3Units]]))</f>
        <v>0</v>
      </c>
      <c r="DX72" s="42" t="n">
        <f aca="false">IF(AND(AND(Tasks[[#This Row],[_IsLeaf]]=1,Tasks[[#This Row],[_LeafTotalWork]]&gt;0),Tasks[[#This Row],[_Res3Work]]&gt;0),Tasks[[#This Row],[_Res3Work]]/(Tasks[[#This Row],[_FinishWorkday]]-Tasks[[#This Row],[_StartWorkday]]+1),0)</f>
        <v>0</v>
      </c>
      <c r="DY72" s="42" t="n">
        <f aca="false">Tasks[[#This Row],[_Res3WorkPerWD]]*MAX(0,Tasks[[#This Row],[_StartWorkday]]-1)</f>
        <v>0</v>
      </c>
      <c r="DZ72" s="42" t="n">
        <f aca="false">Tasks[[#This Row],[_Res3Work]]*Tasks[[#This Row],[_LeafProgress]]</f>
        <v>0</v>
      </c>
      <c r="EA72" s="42" t="str">
        <f aca="false">IF(Tasks[[#This Row],[_Res4Text]]="","",IF(Tasks[[#This Row],[_Res4Row]]&gt;0,INDEX(res_Name,Tasks[[#This Row],[_Res4Row]]),TRIM(LEFT(Tasks[[#This Row],[_Res4Text]],FIND("[",Tasks[[#This Row],[_Res4Text]]&amp;"[")-1))))</f>
        <v/>
      </c>
      <c r="EB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2" s="42" t="n">
        <f aca="false">IF(OR(NOT(Tasks[[#This Row],[_IsLeaf]]=1),Tasks[[#This Row],[_Res4Row]]=0),0,N(Tasks[[#This Row],[_Days]])*HoursPerDay*IF(Tasks[[#This Row],[_Res4Units]]="",DefaultUnits,Tasks[[#This Row],[_Res4Units]]))</f>
        <v>0</v>
      </c>
      <c r="ED72" s="42" t="n">
        <f aca="false">IF(AND(AND(Tasks[[#This Row],[_IsLeaf]]=1,Tasks[[#This Row],[_LeafTotalWork]]&gt;0),Tasks[[#This Row],[_Res4Work]]&gt;0),Tasks[[#This Row],[_Res4Work]]/(Tasks[[#This Row],[_FinishWorkday]]-Tasks[[#This Row],[_StartWorkday]]+1),0)</f>
        <v>0</v>
      </c>
      <c r="EE72" s="42" t="n">
        <f aca="false">Tasks[[#This Row],[_Res4WorkPerWD]]*MAX(0,Tasks[[#This Row],[_StartWorkday]]-1)</f>
        <v>0</v>
      </c>
      <c r="EF72" s="42" t="n">
        <f aca="false">Tasks[[#This Row],[_Res4Work]]*Tasks[[#This Row],[_LeafProgress]]</f>
        <v>0</v>
      </c>
      <c r="EG72" s="42" t="n">
        <f aca="false">IF(ISNUMBER(Tasks[[#This Row],[% Complete]]),Tasks[[#This Row],[% Complete]],IF(Tasks[[#This Row],[Stage]]="",0,IFERROR(INDEX(stg_Pct,MATCH(Tasks[[#This Row],[Stage]],stg_Name,0)),0)))</f>
        <v>0</v>
      </c>
      <c r="EH72" s="42" t="n">
        <f aca="false">IF(NOT(Tasks[[#This Row],[_IsLeaf]]=1),0,IF(N(Tasks[[#This Row],[Actual Finish]])&gt;0,1,MIN(1,Tasks[[#This Row],[_Pct]])))</f>
        <v>0</v>
      </c>
      <c r="EI72" s="42" t="n">
        <f aca="false">IF(OR(NOT(Tasks[[#This Row],[_IsLeaf]]=1),Tasks[[#This Row],[_Res1Row]]=0),0,N(Tasks[[#This Row],[_Days]])*HoursPerDay*IF(Tasks[[#This Row],[_Units1]]="",DefaultUnits,Tasks[[#This Row],[_Units1]]))</f>
        <v>0</v>
      </c>
      <c r="EJ72" s="42" t="n">
        <f aca="false">Tasks[[#This Row],[_LeafWork]]+Tasks[[#This Row],[_Res2Work]]+Tasks[[#This Row],[_Res3Work]]+Tasks[[#This Row],[_Res4Work]]</f>
        <v>0</v>
      </c>
      <c r="EK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2" s="42" t="n">
        <f aca="false">IF(NOT(Tasks[[#This Row],[_IsLeaf]]=1),0,MAX(_xlfn.MAXIFS(Tasks[_Row],Tasks[_Pred1UID],Tasks[[#This Row],[UID]]),_xlfn.MAXIFS(Tasks[_Row],Tasks[_Pred2UID],Tasks[[#This Row],[UID]]),_xlfn.MAXIFS(Tasks[_Row],Tasks[_Pred3UID],Tasks[[#This Row],[UID]]),_xlfn.MAXIFS(Tasks[_Row],Tasks[_Pred4UID],Tasks[[#This Row],[UID]])))</f>
        <v>0</v>
      </c>
      <c r="ET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2" s="89" t="str">
        <f aca="false">IF(NOT(Tasks[[#This Row],[_IsLeaf]]=1),"",IF(N(Tasks[[#This Row],[_Days]])&lt;=0,Tasks[[#This Row],[_LeafLateFinish]],WORKDAY.INTL(Tasks[[#This Row],[_LeafLateFinish]],-(Tasks[[#This Row],[_Days]]-1),WorkWeek,Holidays)))</f>
        <v/>
      </c>
      <c r="EW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2" s="88" t="b">
        <f aca="false">AND(Tasks[[#This Row],[_IsLeaf]]=1,Tasks[[#This Row],[_LeafProgress]]&lt;1,N(Tasks[[#This Row],[_LeafTotalSlack]])&lt;=CriticalSlackDays)</f>
        <v>0</v>
      </c>
      <c r="EY72" s="42" t="n">
        <f aca="false">IF(AND(Tasks[[#This Row],[_IsLeaf]]=1,Tasks[[#This Row],[_ConstraintCode]]=1,Tasks[[#This Row],[Mode]]&lt;&gt;"Manual",N(Tasks[[#This Row],[Actual Start]])=0),MAX(0,N(Tasks[[#This Row],[Free Slack]])),0)</f>
        <v>0</v>
      </c>
      <c r="EZ72" s="89" t="str">
        <f aca="false">IF(NOT(Tasks[[#This Row],[_IsLeaf]]=1),"",IF(Tasks[[#This Row],[_AlapShift]]=0,Tasks[[#This Row],[_LeafCalcStart]],WORKDAY.INTL(Tasks[[#This Row],[_LeafCalcStart]],Tasks[[#This Row],[_AlapShift]],WorkWeek,Holidays)))</f>
        <v/>
      </c>
      <c r="FA72" s="89" t="str">
        <f aca="false">IF(NOT(Tasks[[#This Row],[_IsLeaf]]=1),"",IF(Tasks[[#This Row],[_AlapShift]]=0,Tasks[[#This Row],[_LeafCalcFinish]],WORKDAY.INTL(Tasks[[#This Row],[_LeafCalcFinish]],Tasks[[#This Row],[_AlapShift]],WorkWeek,Holidays)))</f>
        <v/>
      </c>
      <c r="FB72" s="89" t="str">
        <f aca="false">IF(NOT(Tasks[[#This Row],[_IsLeaf]]=1),"",IF(Tasks[[#This Row],[_AlapShift]]=0,Tasks[[#This Row],[_LeafFcstStart]],WORKDAY.INTL(Tasks[[#This Row],[_LeafFcstStart]],Tasks[[#This Row],[_AlapShift]],WorkWeek,Holidays)))</f>
        <v/>
      </c>
      <c r="FC72" s="89" t="str">
        <f aca="false">IF(NOT(Tasks[[#This Row],[_IsLeaf]]=1),"",IF(Tasks[[#This Row],[_AlapShift]]=0,Tasks[[#This Row],[_LeafFcstFinish]],WORKDAY.INTL(Tasks[[#This Row],[_LeafFcstFinish]],Tasks[[#This Row],[_AlapShift]],WorkWeek,Holidays)))</f>
        <v/>
      </c>
      <c r="FD72" s="89" t="str">
        <f aca="false">IF(Tasks[[#This Row],[Task Name]]="","",IF(Tasks[[#This Row],[_IsSummary]],MIN(INDEX(Tasks[_ShownCalcStart],Tasks[[#This Row],[_Row]]+1):INDEX(Tasks[_ShownCalcStart],Tasks[[#This Row],[_Row]]+Tasks[[#This Row],[_Descendants]])),Tasks[[#This Row],[_ShownCalcStart]]))</f>
        <v/>
      </c>
      <c r="FE72" s="89" t="str">
        <f aca="false">IF(Tasks[[#This Row],[Task Name]]="","",IF(Tasks[[#This Row],[_IsSummary]],MAX(INDEX(Tasks[_ShownCalcFinish],Tasks[[#This Row],[_Row]]+1):INDEX(Tasks[_ShownCalcFinish],Tasks[[#This Row],[_Row]]+Tasks[[#This Row],[_Descendants]])),Tasks[[#This Row],[_ShownCalcFinish]]))</f>
        <v/>
      </c>
      <c r="FF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2" s="42" t="n">
        <f aca="false">IF(AND(Tasks[[#This Row],[_IsLeaf]]=1,Tasks[[#This Row],[_LeafTotalWork]]&gt;0),NETWORKDAYS.INTL(ProjectStart,Tasks[[#This Row],[_ShownFcstStart]],WorkWeek,Holidays),0)</f>
        <v>0</v>
      </c>
      <c r="FS72" s="42" t="n">
        <f aca="false">IF(AND(Tasks[[#This Row],[_IsLeaf]]=1,Tasks[[#This Row],[_LeafTotalWork]]&gt;0),MAX(Tasks[[#This Row],[_StartWorkday]],NETWORKDAYS.INTL(ProjectStart,Tasks[[#This Row],[_ShownFcstFinish]],WorkWeek,Holidays)),0)</f>
        <v>0</v>
      </c>
      <c r="FT72" s="42" t="n">
        <f aca="false">IF(AND(Tasks[[#This Row],[_IsLeaf]]=1,Tasks[[#This Row],[_LeafTotalWork]]&gt;0),Tasks[[#This Row],[_LeafWork]]/(Tasks[[#This Row],[_FinishWorkday]]-Tasks[[#This Row],[_StartWorkday]]+1),0)</f>
        <v>0</v>
      </c>
      <c r="FU72" s="42" t="n">
        <f aca="false">Tasks[[#This Row],[_WorkPerWorkday]]*(Tasks[[#This Row],[_StartWorkday]]-1)</f>
        <v>-0</v>
      </c>
      <c r="FV72" s="42" t="n">
        <f aca="false">IF(Tasks[[#This Row],[_IsLeaf]]=1,MAX(N(Tasks[[#This Row],[_Days]]),0.1),0)</f>
        <v>0</v>
      </c>
      <c r="FW72" s="42" t="n">
        <f aca="false">Tasks[[#This Row],[_WeightDur]]*Tasks[[#This Row],[_LeafProgress]]</f>
        <v>0</v>
      </c>
      <c r="FX72" s="42" t="n">
        <f aca="false">Tasks[[#This Row],[_WeightDur]]*Tasks[[#This Row],[_PlannedPct]]</f>
        <v>0</v>
      </c>
      <c r="FY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2" s="42" t="str">
        <f aca="false">IF(AND(Tasks[[#This Row],[_IsLeaf]]=1,N(Tasks[[#This Row],[_Days]])=0,Tasks[[#This Row],[_LeafProgress]]&lt;1),Tasks[[#This Row],[_ShownFcstFinish]]+Tasks[[#This Row],[_Row]]/100000,"")</f>
        <v/>
      </c>
      <c r="GA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2" s="42" t="str">
        <f aca="false">IF(Tasks[[#This Row],[Task Name]]="","",LEFT(Tasks[[#This Row],[WBS]],FIND(".",Tasks[[#This Row],[WBS]]&amp;".")-1))</f>
        <v/>
      </c>
      <c r="GC72" s="42" t="str">
        <f aca="false">IF(AND(Tasks[[#This Row],[Task Name]]&lt;&gt;"",Tasks[[#This Row],[_Level]]=1),Tasks[[#This Row],[_Row]],"")</f>
        <v/>
      </c>
      <c r="GD72" s="42" t="str">
        <f aca="false">IF(AND(Tasks[[#This Row],[_IsLeaf]]=1,N(Tasks[[#This Row],[_Days]])=0),Tasks[[#This Row],[Planned Finish]]+Tasks[[#This Row],[_Row]]/100000,"")</f>
        <v/>
      </c>
      <c r="GE72" s="42" t="str">
        <f aca="false">IF(AND(Tasks[[#This Row],[_IsLeaf]]=1,Tasks[[#This Row],[_LeafProgress]]&lt;1,OR(N(Tasks[[#This Row],[Finish Var]])&gt;0,Tasks[[#This Row],[Status]]="Late Start")),MAX(0,Tasks[[#This Row],[Finish Var]])+1-Tasks[[#This Row],[_Row]]/1000000,"")</f>
        <v/>
      </c>
      <c r="GF72" s="42" t="str">
        <f aca="false">IF(AND(Tasks[[#This Row],[_IsLeaf]]=1,N(Tasks[[#This Row],[Actual Start]])=0,Tasks[[#This Row],[_ShownFcstStart]]&gt;=StatusDate,Tasks[[#This Row],[_ShownFcstStart]]&lt;=LookaheadEnd),Tasks[[#This Row],[_ShownFcstStart]]+Tasks[[#This Row],[_Row]]/100000,"")</f>
        <v/>
      </c>
      <c r="GG72" s="42" t="str">
        <f aca="false">IF(AND(Tasks[[#This Row],[_IsLeaf]]=1,Tasks[[#This Row],[_LeafProgress]]&lt;1,Tasks[[#This Row],[_ShownFcstFinish]]&gt;=StatusDate,Tasks[[#This Row],[_ShownFcstFinish]]&lt;=LookaheadEnd),Tasks[[#This Row],[_ShownFcstFinish]]+Tasks[[#This Row],[_Row]]/100000,"")</f>
        <v/>
      </c>
      <c r="GH72" s="42" t="str">
        <f aca="false">IF(Tasks[[#This Row],[_LeafCritical]],Tasks[[#This Row],[_ShownFcstStart]]+Tasks[[#This Row],[_Row]]/100000,"")</f>
        <v/>
      </c>
      <c r="GI72" s="42" t="n">
        <f aca="false">Tasks[[#This Row],[_LeafWork]]*Tasks[[#This Row],[_LeafProgress]]</f>
        <v>0</v>
      </c>
      <c r="GJ72" s="89" t="str">
        <f aca="false">IF(AND(Tasks[[#This Row],[_IsLeaf]]=1,Tasks[[#This Row],[_LeafProgress]]&gt;=1),IF(N(Tasks[[#This Row],[Actual Finish]])&gt;0,Tasks[[#This Row],[Actual Finish]],Tasks[[#This Row],[_ShownFcstFinish]]),"")</f>
        <v/>
      </c>
      <c r="GK72" s="42" t="n">
        <f aca="false">IF(Tasks[[#This Row],[_IsLeaf]]=1,N(Tasks[[#This Row],[Story Points]]),0)</f>
        <v>0</v>
      </c>
      <c r="GL72" s="42" t="str">
        <f aca="false">""</f>
        <v/>
      </c>
      <c r="GM72" s="88" t="b">
        <f aca="false">IF(Tasks[[#This Row],[Task Name]]="",FALSE(),AND(Tasks[[#This Row],[_IsLeaf]]=1,N(Tasks[[#This Row],[_Days]])=0))</f>
        <v>0</v>
      </c>
      <c r="GN72" s="89" t="n">
        <f aca="false">IF(Tasks[[#This Row],[Task Name]]="",0,IF(AND(Tasks[[#This Row],[_IsLeaf]]=1,NOT(Tasks[[#This Row],[_IsMilestone]]),N(Tasks[[#This Row],[Progress]])&gt;0),Tasks[[#This Row],[Start]],0))</f>
        <v>0</v>
      </c>
      <c r="GO72" s="89" t="n">
        <f aca="false">IF(Tasks[[#This Row],[_DoneFrom]]=0,0,IF(Tasks[[#This Row],[Progress]]&gt;=1,Tasks[[#This Row],[Finish]],MAX(Tasks[[#This Row],[_DoneFrom]],Tasks[[#This Row],[Start]]+ROUND((Tasks[[#This Row],[Finish]]-Tasks[[#This Row],[Start]]+1)*Tasks[[#This Row],[Progress]],0)-1)))</f>
        <v>0</v>
      </c>
      <c r="GP72" s="89" t="n">
        <f aca="false">IF(Tasks[[#This Row],[Task Name]]="",0,IF(OR(NOT(Tasks[[#This Row],[_IsLeaf]]=1),Tasks[[#This Row],[_IsMilestone]],N(Tasks[[#This Row],[Progress]])&gt;=1),0,IF(Tasks[[#This Row],[_DoneTo]]&gt;0,Tasks[[#This Row],[_DoneTo]]+1,Tasks[[#This Row],[Start]])))</f>
        <v>0</v>
      </c>
      <c r="GQ72" s="89" t="n">
        <f aca="false">IF(Tasks[[#This Row],[_RemFrom]]=0,0,Tasks[[#This Row],[Finish]])</f>
        <v>0</v>
      </c>
      <c r="GR72" s="88" t="b">
        <f aca="false">IF(Tasks[[#This Row],[Task Name]]="",FALSE(),OR(NOT(BaselineSet),N(Tasks[[#This Row],[Baseline Start]])&gt;0))</f>
        <v>0</v>
      </c>
      <c r="GS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2" s="90" t="str">
        <f aca="false">IF(Tasks[[#This Row],[_IsLeaf]]=1,Tasks[[#This Row],[_Row]],"")</f>
        <v/>
      </c>
      <c r="GW72" s="90" t="str">
        <f aca="false">IFERROR(INDEX(Tasks[UID],SMALL(Tasks[_PickKey],Tasks[[#This Row],[_Row]]))&amp;" "&amp;INDEX(Tasks[Task Name],SMALL(Tasks[_PickKey],Tasks[[#This Row],[_Row]])),"")</f>
        <v/>
      </c>
      <c r="GX72" s="42" t="str">
        <f aca="false">IF(Tasks[[#This Row],[Task Name]]="","",IF(Tasks[[#This Row],[_IsSummary]],NETWORKDAYS.INTL(Tasks[[#This Row],[Start]],Tasks[[#This Row],[Finish]],WorkWeek,Holidays),N(Tasks[[#This Row],[_Days]])))</f>
        <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3"/>
      <c r="U73" s="23"/>
      <c r="V73" s="83"/>
      <c r="W73" s="23"/>
      <c r="X73" s="83"/>
      <c r="Y73" s="23"/>
      <c r="Z73" s="83"/>
      <c r="AA73" s="23"/>
      <c r="AB73" s="23"/>
      <c r="AC73" s="7"/>
      <c r="AD73" s="7"/>
      <c r="AE73" s="62" t="str">
        <f aca="false">IF(Tasks[[#This Row],[Task Name]]="","",IF(Tasks[[#This Row],[_IsSummary]],MIN(INDEX(Tasks[_ShownFcstStart],Tasks[[#This Row],[_Row]]+1):INDEX(Tasks[_ShownFcstStart],Tasks[[#This Row],[_Row]]+Tasks[[#This Row],[_Descendants]])),Tasks[[#This Row],[_ShownFcstStart]]))</f>
        <v/>
      </c>
      <c r="AF73" s="62"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3" s="7"/>
      <c r="AK73" s="22"/>
      <c r="AL73" s="23"/>
      <c r="AM73" s="7"/>
      <c r="AN73" s="46"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2" t="str">
        <f aca="false">IF(Tasks[[#This Row],[Task Name]]="","",IF(N(Tasks[[#This Row],[Baseline Start]])&gt;0,Tasks[[#This Row],[Baseline Start]],Tasks[[#This Row],[_CalcStart]]))</f>
        <v/>
      </c>
      <c r="AR73" s="62" t="str">
        <f aca="false">IF(Tasks[[#This Row],[Task Name]]="","",IF(N(Tasks[[#This Row],[Baseline Finish]])&gt;0,Tasks[[#This Row],[Baseline Finish]],Tasks[[#This Row],[_CalcFinish]]))</f>
        <v/>
      </c>
      <c r="AS73" s="46" t="str">
        <f aca="false">IF(Tasks[[#This Row],[Task Name]]="","",IF(Tasks[[#This Row],[Start]]&gt;=Tasks[[#This Row],[Planned Start]],NETWORKDAYS.INTL(Tasks[[#This Row],[Planned Start]],Tasks[[#This Row],[Start]],WorkWeek,Holidays)-1,1-NETWORKDAYS.INTL(Tasks[[#This Row],[Start]],Tasks[[#This Row],[Planned Start]],WorkWeek,Holidays)))</f>
        <v/>
      </c>
      <c r="AT73" s="62" t="str">
        <f aca="false">IF(Tasks[[#This Row],[Task Name]]="","",IF(Tasks[[#This Row],[_IsSummary]],MIN(INDEX(Tasks[_LeafLateStart],Tasks[[#This Row],[_Row]]+1):INDEX(Tasks[_LeafLateStart],Tasks[[#This Row],[_Row]]+Tasks[[#This Row],[_Descendants]])),Tasks[[#This Row],[_LeafLateStart]]))</f>
        <v/>
      </c>
      <c r="AU73" s="62" t="str">
        <f aca="false">IF(Tasks[[#This Row],[Task Name]]="","",IF(Tasks[[#This Row],[_IsSummary]],MAX(INDEX(Tasks[_LeafLateFinish],Tasks[[#This Row],[_Row]]+1):INDEX(Tasks[_LeafLateFinish],Tasks[[#This Row],[_Row]]+Tasks[[#This Row],[_Descendants]])),Tasks[[#This Row],[_LeafLateFinish]]))</f>
        <v/>
      </c>
      <c r="AV73" s="46"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4"/>
      <c r="BA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5"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6"/>
      <c r="BJ73" s="22"/>
      <c r="BK73" s="46" t="str">
        <f aca="false">IF(OR(Tasks[[#This Row],[Task Name]]="",Tasks[[#This Row],[Baseline Duration]]=""),"",Tasks[[#This Row],[_SpanDays]]-N(Tasks[[#This Row],[Baseline Duration]]))</f>
        <v/>
      </c>
      <c r="BL73" s="85" t="str">
        <f aca="false">IF(OR(Tasks[[#This Row],[Task Name]]="",Tasks[[#This Row],[Baseline Work]]=""),"",Tasks[[#This Row],[Work]]-N(Tasks[[#This Row],[Baseline Work]]))</f>
        <v/>
      </c>
      <c r="BM73" s="62" t="str">
        <f aca="false">IF(Tasks[[#This Row],[Task Name]]="","",IF(OR(TakeBaseline="Yes",N(Tasks[[#This Row],[Baseline Start]])=0),Tasks[[#This Row],[Start]],Tasks[[#This Row],[Baseline Start]]))</f>
        <v/>
      </c>
      <c r="BN73" s="62"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5" t="str">
        <f aca="false">IF(Tasks[[#This Row],[Task Name]]="","",IF(OR(TakeBaseline="Yes",N(Tasks[[#This Row],[Baseline Work]])=0),Tasks[[#This Row],[Work]],Tasks[[#This Row],[Baseline Work]]))</f>
        <v/>
      </c>
      <c r="BQ73" s="7"/>
      <c r="BR73" s="7"/>
      <c r="BS73" s="22"/>
      <c r="BT73" s="87"/>
      <c r="BU73" s="42" t="str">
        <f aca="false">IF(Tasks[[#This Row],[Task Name]]="","",MAX(1,N(Tasks[[#This Row],[Level]])))</f>
        <v/>
      </c>
      <c r="BV73" s="42" t="n">
        <f aca="false">ROW()-ROW(Tasks[[#Headers],[ID]])</f>
        <v>68</v>
      </c>
      <c r="BW73" s="42" t="n">
        <f aca="false">IF(OR(Tasks[[#This Row],[Task Name]]="",Tasks[[#This Row],[_Level]]&lt;=1),0,IFERROR(LOOKUP(2,1/(Tasks[[#Headers],[_Level]]:Tasks[[#This Row],[_Level]]=Tasks[[#This Row],[_Level]]-1),ROW(Tasks[[#Headers],[_Level]]:Tasks[[#This Row],[_Level]])),0))</f>
        <v>0</v>
      </c>
      <c r="BX73" s="42" t="n">
        <f aca="false">IFERROR(N(INDEX(Tasks[_Level],Tasks[[#This Row],[_Row]]+1)),0)</f>
        <v>0</v>
      </c>
      <c r="BY73" s="88" t="b">
        <f aca="false">AND(Tasks[[#This Row],[Task Name]]&lt;&gt;"",Tasks[[#This Row],[_NextLevel]]&gt;Tasks[[#This Row],[_Level]])</f>
        <v>0</v>
      </c>
      <c r="BZ73" s="42" t="n">
        <f aca="false">IF(Tasks[[#This Row],[_IsSummary]],COUNTIF(Tasks[WBS],Tasks[[#This Row],[WBS]]&amp;".*"),0)</f>
        <v>0</v>
      </c>
      <c r="CA73" s="42" t="n">
        <f aca="false">IF(AND(Tasks[[#This Row],[Task Name]]&lt;&gt;"",NOT(Tasks[[#This Row],[_IsSummary]])),1,0)</f>
        <v>0</v>
      </c>
      <c r="CB73" s="42" t="n">
        <f aca="false">IF(N(Tasks[[#This Row],[_Pred1UID]])=0,0,IFERROR(MATCH(Tasks[[#This Row],[_Pred1UID]],Tasks[UID],0),-1))</f>
        <v>0</v>
      </c>
      <c r="CC73" s="42" t="n">
        <f aca="false">IF(N(Tasks[[#This Row],[_Pred2UID]])=0,0,IFERROR(MATCH(Tasks[[#This Row],[_Pred2UID]],Tasks[UID],0),-1))</f>
        <v>0</v>
      </c>
      <c r="CD73" s="42" t="n">
        <f aca="false">IF(N(Tasks[[#This Row],[_Pred3UID]])=0,0,IFERROR(MATCH(Tasks[[#This Row],[_Pred3UID]],Tasks[UID],0),-1))</f>
        <v>0</v>
      </c>
      <c r="CE73" s="42" t="n">
        <f aca="false">IF(N(Tasks[[#This Row],[_Pred4UID]])=0,0,IFERROR(MATCH(Tasks[[#This Row],[_Pred4UID]],Tasks[UID],0),-1))</f>
        <v>0</v>
      </c>
      <c r="CF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3" s="89" t="n">
        <f aca="false">IF(OR(Tasks[[#This Row],[_ConstraintCode]]=2,Tasks[[#This Row],[_ConstraintCode]]=3,Tasks[[#This Row],[_ConstraintCode]]=4,Tasks[[#This Row],[_ConstraintCode]]=6),Tasks[[#This Row],[_ConstraintStart]],0)</f>
        <v>0</v>
      </c>
      <c r="CI73" s="89" t="n">
        <f aca="false">IF(OR(Tasks[[#This Row],[_ConstraintCode]]=2,Tasks[[#This Row],[_ConstraintCode]]=3,Tasks[[#This Row],[_ConstraintCode]]=5,Tasks[[#This Row],[_ConstraintCode]]=7),Tasks[[#This Row],[_ConstraintStart]],2958465)</f>
        <v>2958465</v>
      </c>
      <c r="CJ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3" s="89" t="str">
        <f aca="false">IF(NOT(Tasks[[#This Row],[_IsLeaf]]=1),"",IF(N(Tasks[[#This Row],[_Days]])&lt;=0,Tasks[[#This Row],[_LeafCalcStart]],WORKDAY.INTL(Tasks[[#This Row],[_LeafCalcStart]],Tasks[[#This Row],[_Days]]-1,WorkWeek,Holidays)))</f>
        <v/>
      </c>
      <c r="CL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3" s="42" t="str">
        <f aca="false">IF(Tasks[[#This Row],[_Predecessors]]="","",TRIM(MID(SUBSTITUTE(SUBSTITUTE(SUBSTITUTE(UPPER(Tasks[[#This Row],[_Predecessors]]),";",",")," ",""),",",REPT(" ",99)),1,99)))</f>
        <v/>
      </c>
      <c r="CO73" s="42" t="str">
        <f aca="false">IF(Tasks[[#This Row],[_Pred1Text]]="","",IFERROR(VALUE(LEFT(Tasks[[#This Row],[_Pred1Text]],MIN(FIND("F",Tasks[[#This Row],[_Pred1Text]]&amp;"F"),FIND("S",Tasks[[#This Row],[_Pred1Text]]&amp;"S"),FIND("+",Tasks[[#This Row],[_Pred1Text]]&amp;"+"),FIND("-",Tasks[[#This Row],[_Pred1Text]]&amp;"-"))-1)),""))</f>
        <v/>
      </c>
      <c r="CP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3" s="42" t="str">
        <f aca="false">IF(Tasks[[#This Row],[_Pred1Text]]="","",TRIM(MID(SUBSTITUTE(SUBSTITUTE(SUBSTITUTE(UPPER(Tasks[[#This Row],[_Predecessors]]),";",",")," ",""),",",REPT(" ",99)),100,99)))</f>
        <v/>
      </c>
      <c r="CS73" s="42" t="str">
        <f aca="false">IF(Tasks[[#This Row],[_Pred2Text]]="","",IFERROR(VALUE(LEFT(Tasks[[#This Row],[_Pred2Text]],MIN(FIND("F",Tasks[[#This Row],[_Pred2Text]]&amp;"F"),FIND("S",Tasks[[#This Row],[_Pred2Text]]&amp;"S"),FIND("+",Tasks[[#This Row],[_Pred2Text]]&amp;"+"),FIND("-",Tasks[[#This Row],[_Pred2Text]]&amp;"-"))-1)),""))</f>
        <v/>
      </c>
      <c r="CT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3" s="42" t="str">
        <f aca="false">IF(Tasks[[#This Row],[_Pred2Text]]="","",TRIM(MID(SUBSTITUTE(SUBSTITUTE(SUBSTITUTE(UPPER(Tasks[[#This Row],[_Predecessors]]),";",",")," ",""),",",REPT(" ",99)),199,99)))</f>
        <v/>
      </c>
      <c r="CW73" s="42" t="str">
        <f aca="false">IF(Tasks[[#This Row],[_Pred3Text]]="","",IFERROR(VALUE(LEFT(Tasks[[#This Row],[_Pred3Text]],MIN(FIND("F",Tasks[[#This Row],[_Pred3Text]]&amp;"F"),FIND("S",Tasks[[#This Row],[_Pred3Text]]&amp;"S"),FIND("+",Tasks[[#This Row],[_Pred3Text]]&amp;"+"),FIND("-",Tasks[[#This Row],[_Pred3Text]]&amp;"-"))-1)),""))</f>
        <v/>
      </c>
      <c r="CX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3" s="42" t="str">
        <f aca="false">IF(Tasks[[#This Row],[_Pred3Text]]="","",TRIM(MID(SUBSTITUTE(SUBSTITUTE(SUBSTITUTE(UPPER(Tasks[[#This Row],[_Predecessors]]),";",",")," ",""),",",REPT(" ",99)),298,99)))</f>
        <v/>
      </c>
      <c r="DA73" s="42" t="str">
        <f aca="false">IF(Tasks[[#This Row],[_Pred4Text]]="","",IFERROR(VALUE(LEFT(Tasks[[#This Row],[_Pred4Text]],MIN(FIND("F",Tasks[[#This Row],[_Pred4Text]]&amp;"F"),FIND("S",Tasks[[#This Row],[_Pred4Text]]&amp;"S"),FIND("+",Tasks[[#This Row],[_Pred4Text]]&amp;"+"),FIND("-",Tasks[[#This Row],[_Pred4Text]]&amp;"-"))-1)),""))</f>
        <v/>
      </c>
      <c r="DB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3" s="42" t="str">
        <f aca="false">IF(OR(Tasks[[#This Row],[Task Name]]="",Tasks[[#This Row],[_Resources]]=""),"",TRIM(MID(SUBSTITUTE(Tasks[[#This Row],[_Resources]],",",REPT(" ",99)),1,99)))</f>
        <v/>
      </c>
      <c r="DE73" s="42" t="str">
        <f aca="false">IF(Tasks[[#This Row],[_Res1Text]]="","",TRIM(MID(SUBSTITUTE(Tasks[[#This Row],[_Resources]],",",REPT(" ",99)),100,99)))</f>
        <v/>
      </c>
      <c r="DF73" s="42" t="str">
        <f aca="false">IF(Tasks[[#This Row],[_Res2Text]]="","",TRIM(MID(SUBSTITUTE(Tasks[[#This Row],[_Resources]],",",REPT(" ",99)),199,99)))</f>
        <v/>
      </c>
      <c r="DG73" s="42" t="str">
        <f aca="false">IF(Tasks[[#This Row],[_Res3Text]]="","",TRIM(MID(SUBSTITUTE(Tasks[[#This Row],[_Resources]],",",REPT(" ",99)),298,99)))</f>
        <v/>
      </c>
      <c r="DH73" s="42" t="n">
        <f aca="false">IF(Tasks[[#This Row],[_Res1Text]]="",0,IFERROR(MATCH(TRIM(LEFT(Tasks[[#This Row],[_Res1Text]],FIND("[",Tasks[[#This Row],[_Res1Text]]&amp;"[")-1)),res_Name,0),IFERROR(MATCH(TRIM(LEFT(Tasks[[#This Row],[_Res1Text]],FIND("[",Tasks[[#This Row],[_Res1Text]]&amp;"[")-1)),res_Initials,0),0)))</f>
        <v>0</v>
      </c>
      <c r="DI73" s="42" t="n">
        <f aca="false">IF(Tasks[[#This Row],[_Res2Text]]="",0,IFERROR(MATCH(TRIM(LEFT(Tasks[[#This Row],[_Res2Text]],FIND("[",Tasks[[#This Row],[_Res2Text]]&amp;"[")-1)),res_Name,0),IFERROR(MATCH(TRIM(LEFT(Tasks[[#This Row],[_Res2Text]],FIND("[",Tasks[[#This Row],[_Res2Text]]&amp;"[")-1)),res_Initials,0),0)))</f>
        <v>0</v>
      </c>
      <c r="DJ73" s="42" t="n">
        <f aca="false">IF(Tasks[[#This Row],[_Res3Text]]="",0,IFERROR(MATCH(TRIM(LEFT(Tasks[[#This Row],[_Res3Text]],FIND("[",Tasks[[#This Row],[_Res3Text]]&amp;"[")-1)),res_Name,0),IFERROR(MATCH(TRIM(LEFT(Tasks[[#This Row],[_Res3Text]],FIND("[",Tasks[[#This Row],[_Res3Text]]&amp;"[")-1)),res_Initials,0),0)))</f>
        <v>0</v>
      </c>
      <c r="DK73" s="42" t="n">
        <f aca="false">IF(Tasks[[#This Row],[_Res4Text]]="",0,IFERROR(MATCH(TRIM(LEFT(Tasks[[#This Row],[_Res4Text]],FIND("[",Tasks[[#This Row],[_Res4Text]]&amp;"[")-1)),res_Name,0),IFERROR(MATCH(TRIM(LEFT(Tasks[[#This Row],[_Res4Text]],FIND("[",Tasks[[#This Row],[_Res4Text]]&amp;"[")-1)),res_Initials,0),0)))</f>
        <v>0</v>
      </c>
      <c r="DL73" s="42" t="str">
        <f aca="false">IF(Tasks[[#This Row],[_Res1Text]]="","",IF(Tasks[[#This Row],[_Res1Row]]&gt;0,INDEX(res_Name,Tasks[[#This Row],[_Res1Row]]),TRIM(LEFT(Tasks[[#This Row],[_Res1Text]],FIND("[",Tasks[[#This Row],[_Res1Text]]&amp;"[")-1))))</f>
        <v/>
      </c>
      <c r="DM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3" s="42" t="n">
        <f aca="false">IF(NOT(Tasks[[#This Row],[_IsLeaf]]=1),0,(Tasks[[#This Row],[_Resource1]]&lt;&gt;"")+(Tasks[[#This Row],[_Res2]]&lt;&gt;"")+(Tasks[[#This Row],[_Res3]]&lt;&gt;"")+(Tasks[[#This Row],[_Res4]]&lt;&gt;""))</f>
        <v>0</v>
      </c>
      <c r="DO73" s="42" t="str">
        <f aca="false">IF(Tasks[[#This Row],[_Res2Text]]="","",IF(Tasks[[#This Row],[_Res2Row]]&gt;0,INDEX(res_Name,Tasks[[#This Row],[_Res2Row]]),TRIM(LEFT(Tasks[[#This Row],[_Res2Text]],FIND("[",Tasks[[#This Row],[_Res2Text]]&amp;"[")-1))))</f>
        <v/>
      </c>
      <c r="DP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3" s="42" t="n">
        <f aca="false">IF(OR(NOT(Tasks[[#This Row],[_IsLeaf]]=1),Tasks[[#This Row],[_Res2Row]]=0),0,N(Tasks[[#This Row],[_Days]])*HoursPerDay*IF(Tasks[[#This Row],[_Res2Units]]="",DefaultUnits,Tasks[[#This Row],[_Res2Units]]))</f>
        <v>0</v>
      </c>
      <c r="DR73" s="42" t="n">
        <f aca="false">IF(AND(AND(Tasks[[#This Row],[_IsLeaf]]=1,Tasks[[#This Row],[_LeafTotalWork]]&gt;0),Tasks[[#This Row],[_Res2Work]]&gt;0),Tasks[[#This Row],[_Res2Work]]/(Tasks[[#This Row],[_FinishWorkday]]-Tasks[[#This Row],[_StartWorkday]]+1),0)</f>
        <v>0</v>
      </c>
      <c r="DS73" s="42" t="n">
        <f aca="false">Tasks[[#This Row],[_Res2WorkPerWD]]*MAX(0,Tasks[[#This Row],[_StartWorkday]]-1)</f>
        <v>0</v>
      </c>
      <c r="DT73" s="42" t="n">
        <f aca="false">Tasks[[#This Row],[_Res2Work]]*Tasks[[#This Row],[_LeafProgress]]</f>
        <v>0</v>
      </c>
      <c r="DU73" s="42" t="str">
        <f aca="false">IF(Tasks[[#This Row],[_Res3Text]]="","",IF(Tasks[[#This Row],[_Res3Row]]&gt;0,INDEX(res_Name,Tasks[[#This Row],[_Res3Row]]),TRIM(LEFT(Tasks[[#This Row],[_Res3Text]],FIND("[",Tasks[[#This Row],[_Res3Text]]&amp;"[")-1))))</f>
        <v/>
      </c>
      <c r="DV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3" s="42" t="n">
        <f aca="false">IF(OR(NOT(Tasks[[#This Row],[_IsLeaf]]=1),Tasks[[#This Row],[_Res3Row]]=0),0,N(Tasks[[#This Row],[_Days]])*HoursPerDay*IF(Tasks[[#This Row],[_Res3Units]]="",DefaultUnits,Tasks[[#This Row],[_Res3Units]]))</f>
        <v>0</v>
      </c>
      <c r="DX73" s="42" t="n">
        <f aca="false">IF(AND(AND(Tasks[[#This Row],[_IsLeaf]]=1,Tasks[[#This Row],[_LeafTotalWork]]&gt;0),Tasks[[#This Row],[_Res3Work]]&gt;0),Tasks[[#This Row],[_Res3Work]]/(Tasks[[#This Row],[_FinishWorkday]]-Tasks[[#This Row],[_StartWorkday]]+1),0)</f>
        <v>0</v>
      </c>
      <c r="DY73" s="42" t="n">
        <f aca="false">Tasks[[#This Row],[_Res3WorkPerWD]]*MAX(0,Tasks[[#This Row],[_StartWorkday]]-1)</f>
        <v>0</v>
      </c>
      <c r="DZ73" s="42" t="n">
        <f aca="false">Tasks[[#This Row],[_Res3Work]]*Tasks[[#This Row],[_LeafProgress]]</f>
        <v>0</v>
      </c>
      <c r="EA73" s="42" t="str">
        <f aca="false">IF(Tasks[[#This Row],[_Res4Text]]="","",IF(Tasks[[#This Row],[_Res4Row]]&gt;0,INDEX(res_Name,Tasks[[#This Row],[_Res4Row]]),TRIM(LEFT(Tasks[[#This Row],[_Res4Text]],FIND("[",Tasks[[#This Row],[_Res4Text]]&amp;"[")-1))))</f>
        <v/>
      </c>
      <c r="EB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3" s="42" t="n">
        <f aca="false">IF(OR(NOT(Tasks[[#This Row],[_IsLeaf]]=1),Tasks[[#This Row],[_Res4Row]]=0),0,N(Tasks[[#This Row],[_Days]])*HoursPerDay*IF(Tasks[[#This Row],[_Res4Units]]="",DefaultUnits,Tasks[[#This Row],[_Res4Units]]))</f>
        <v>0</v>
      </c>
      <c r="ED73" s="42" t="n">
        <f aca="false">IF(AND(AND(Tasks[[#This Row],[_IsLeaf]]=1,Tasks[[#This Row],[_LeafTotalWork]]&gt;0),Tasks[[#This Row],[_Res4Work]]&gt;0),Tasks[[#This Row],[_Res4Work]]/(Tasks[[#This Row],[_FinishWorkday]]-Tasks[[#This Row],[_StartWorkday]]+1),0)</f>
        <v>0</v>
      </c>
      <c r="EE73" s="42" t="n">
        <f aca="false">Tasks[[#This Row],[_Res4WorkPerWD]]*MAX(0,Tasks[[#This Row],[_StartWorkday]]-1)</f>
        <v>0</v>
      </c>
      <c r="EF73" s="42" t="n">
        <f aca="false">Tasks[[#This Row],[_Res4Work]]*Tasks[[#This Row],[_LeafProgress]]</f>
        <v>0</v>
      </c>
      <c r="EG73" s="42" t="n">
        <f aca="false">IF(ISNUMBER(Tasks[[#This Row],[% Complete]]),Tasks[[#This Row],[% Complete]],IF(Tasks[[#This Row],[Stage]]="",0,IFERROR(INDEX(stg_Pct,MATCH(Tasks[[#This Row],[Stage]],stg_Name,0)),0)))</f>
        <v>0</v>
      </c>
      <c r="EH73" s="42" t="n">
        <f aca="false">IF(NOT(Tasks[[#This Row],[_IsLeaf]]=1),0,IF(N(Tasks[[#This Row],[Actual Finish]])&gt;0,1,MIN(1,Tasks[[#This Row],[_Pct]])))</f>
        <v>0</v>
      </c>
      <c r="EI73" s="42" t="n">
        <f aca="false">IF(OR(NOT(Tasks[[#This Row],[_IsLeaf]]=1),Tasks[[#This Row],[_Res1Row]]=0),0,N(Tasks[[#This Row],[_Days]])*HoursPerDay*IF(Tasks[[#This Row],[_Units1]]="",DefaultUnits,Tasks[[#This Row],[_Units1]]))</f>
        <v>0</v>
      </c>
      <c r="EJ73" s="42" t="n">
        <f aca="false">Tasks[[#This Row],[_LeafWork]]+Tasks[[#This Row],[_Res2Work]]+Tasks[[#This Row],[_Res3Work]]+Tasks[[#This Row],[_Res4Work]]</f>
        <v>0</v>
      </c>
      <c r="EK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3" s="42" t="n">
        <f aca="false">IF(NOT(Tasks[[#This Row],[_IsLeaf]]=1),0,MAX(_xlfn.MAXIFS(Tasks[_Row],Tasks[_Pred1UID],Tasks[[#This Row],[UID]]),_xlfn.MAXIFS(Tasks[_Row],Tasks[_Pred2UID],Tasks[[#This Row],[UID]]),_xlfn.MAXIFS(Tasks[_Row],Tasks[_Pred3UID],Tasks[[#This Row],[UID]]),_xlfn.MAXIFS(Tasks[_Row],Tasks[_Pred4UID],Tasks[[#This Row],[UID]])))</f>
        <v>0</v>
      </c>
      <c r="ET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3" s="89" t="str">
        <f aca="false">IF(NOT(Tasks[[#This Row],[_IsLeaf]]=1),"",IF(N(Tasks[[#This Row],[_Days]])&lt;=0,Tasks[[#This Row],[_LeafLateFinish]],WORKDAY.INTL(Tasks[[#This Row],[_LeafLateFinish]],-(Tasks[[#This Row],[_Days]]-1),WorkWeek,Holidays)))</f>
        <v/>
      </c>
      <c r="EW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3" s="88" t="b">
        <f aca="false">AND(Tasks[[#This Row],[_IsLeaf]]=1,Tasks[[#This Row],[_LeafProgress]]&lt;1,N(Tasks[[#This Row],[_LeafTotalSlack]])&lt;=CriticalSlackDays)</f>
        <v>0</v>
      </c>
      <c r="EY73" s="42" t="n">
        <f aca="false">IF(AND(Tasks[[#This Row],[_IsLeaf]]=1,Tasks[[#This Row],[_ConstraintCode]]=1,Tasks[[#This Row],[Mode]]&lt;&gt;"Manual",N(Tasks[[#This Row],[Actual Start]])=0),MAX(0,N(Tasks[[#This Row],[Free Slack]])),0)</f>
        <v>0</v>
      </c>
      <c r="EZ73" s="89" t="str">
        <f aca="false">IF(NOT(Tasks[[#This Row],[_IsLeaf]]=1),"",IF(Tasks[[#This Row],[_AlapShift]]=0,Tasks[[#This Row],[_LeafCalcStart]],WORKDAY.INTL(Tasks[[#This Row],[_LeafCalcStart]],Tasks[[#This Row],[_AlapShift]],WorkWeek,Holidays)))</f>
        <v/>
      </c>
      <c r="FA73" s="89" t="str">
        <f aca="false">IF(NOT(Tasks[[#This Row],[_IsLeaf]]=1),"",IF(Tasks[[#This Row],[_AlapShift]]=0,Tasks[[#This Row],[_LeafCalcFinish]],WORKDAY.INTL(Tasks[[#This Row],[_LeafCalcFinish]],Tasks[[#This Row],[_AlapShift]],WorkWeek,Holidays)))</f>
        <v/>
      </c>
      <c r="FB73" s="89" t="str">
        <f aca="false">IF(NOT(Tasks[[#This Row],[_IsLeaf]]=1),"",IF(Tasks[[#This Row],[_AlapShift]]=0,Tasks[[#This Row],[_LeafFcstStart]],WORKDAY.INTL(Tasks[[#This Row],[_LeafFcstStart]],Tasks[[#This Row],[_AlapShift]],WorkWeek,Holidays)))</f>
        <v/>
      </c>
      <c r="FC73" s="89" t="str">
        <f aca="false">IF(NOT(Tasks[[#This Row],[_IsLeaf]]=1),"",IF(Tasks[[#This Row],[_AlapShift]]=0,Tasks[[#This Row],[_LeafFcstFinish]],WORKDAY.INTL(Tasks[[#This Row],[_LeafFcstFinish]],Tasks[[#This Row],[_AlapShift]],WorkWeek,Holidays)))</f>
        <v/>
      </c>
      <c r="FD73" s="89" t="str">
        <f aca="false">IF(Tasks[[#This Row],[Task Name]]="","",IF(Tasks[[#This Row],[_IsSummary]],MIN(INDEX(Tasks[_ShownCalcStart],Tasks[[#This Row],[_Row]]+1):INDEX(Tasks[_ShownCalcStart],Tasks[[#This Row],[_Row]]+Tasks[[#This Row],[_Descendants]])),Tasks[[#This Row],[_ShownCalcStart]]))</f>
        <v/>
      </c>
      <c r="FE73" s="89" t="str">
        <f aca="false">IF(Tasks[[#This Row],[Task Name]]="","",IF(Tasks[[#This Row],[_IsSummary]],MAX(INDEX(Tasks[_ShownCalcFinish],Tasks[[#This Row],[_Row]]+1):INDEX(Tasks[_ShownCalcFinish],Tasks[[#This Row],[_Row]]+Tasks[[#This Row],[_Descendants]])),Tasks[[#This Row],[_ShownCalcFinish]]))</f>
        <v/>
      </c>
      <c r="FF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3" s="42" t="n">
        <f aca="false">IF(AND(Tasks[[#This Row],[_IsLeaf]]=1,Tasks[[#This Row],[_LeafTotalWork]]&gt;0),NETWORKDAYS.INTL(ProjectStart,Tasks[[#This Row],[_ShownFcstStart]],WorkWeek,Holidays),0)</f>
        <v>0</v>
      </c>
      <c r="FS73" s="42" t="n">
        <f aca="false">IF(AND(Tasks[[#This Row],[_IsLeaf]]=1,Tasks[[#This Row],[_LeafTotalWork]]&gt;0),MAX(Tasks[[#This Row],[_StartWorkday]],NETWORKDAYS.INTL(ProjectStart,Tasks[[#This Row],[_ShownFcstFinish]],WorkWeek,Holidays)),0)</f>
        <v>0</v>
      </c>
      <c r="FT73" s="42" t="n">
        <f aca="false">IF(AND(Tasks[[#This Row],[_IsLeaf]]=1,Tasks[[#This Row],[_LeafTotalWork]]&gt;0),Tasks[[#This Row],[_LeafWork]]/(Tasks[[#This Row],[_FinishWorkday]]-Tasks[[#This Row],[_StartWorkday]]+1),0)</f>
        <v>0</v>
      </c>
      <c r="FU73" s="42" t="n">
        <f aca="false">Tasks[[#This Row],[_WorkPerWorkday]]*(Tasks[[#This Row],[_StartWorkday]]-1)</f>
        <v>-0</v>
      </c>
      <c r="FV73" s="42" t="n">
        <f aca="false">IF(Tasks[[#This Row],[_IsLeaf]]=1,MAX(N(Tasks[[#This Row],[_Days]]),0.1),0)</f>
        <v>0</v>
      </c>
      <c r="FW73" s="42" t="n">
        <f aca="false">Tasks[[#This Row],[_WeightDur]]*Tasks[[#This Row],[_LeafProgress]]</f>
        <v>0</v>
      </c>
      <c r="FX73" s="42" t="n">
        <f aca="false">Tasks[[#This Row],[_WeightDur]]*Tasks[[#This Row],[_PlannedPct]]</f>
        <v>0</v>
      </c>
      <c r="FY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3" s="42" t="str">
        <f aca="false">IF(AND(Tasks[[#This Row],[_IsLeaf]]=1,N(Tasks[[#This Row],[_Days]])=0,Tasks[[#This Row],[_LeafProgress]]&lt;1),Tasks[[#This Row],[_ShownFcstFinish]]+Tasks[[#This Row],[_Row]]/100000,"")</f>
        <v/>
      </c>
      <c r="GA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3" s="42" t="str">
        <f aca="false">IF(Tasks[[#This Row],[Task Name]]="","",LEFT(Tasks[[#This Row],[WBS]],FIND(".",Tasks[[#This Row],[WBS]]&amp;".")-1))</f>
        <v/>
      </c>
      <c r="GC73" s="42" t="str">
        <f aca="false">IF(AND(Tasks[[#This Row],[Task Name]]&lt;&gt;"",Tasks[[#This Row],[_Level]]=1),Tasks[[#This Row],[_Row]],"")</f>
        <v/>
      </c>
      <c r="GD73" s="42" t="str">
        <f aca="false">IF(AND(Tasks[[#This Row],[_IsLeaf]]=1,N(Tasks[[#This Row],[_Days]])=0),Tasks[[#This Row],[Planned Finish]]+Tasks[[#This Row],[_Row]]/100000,"")</f>
        <v/>
      </c>
      <c r="GE73" s="42" t="str">
        <f aca="false">IF(AND(Tasks[[#This Row],[_IsLeaf]]=1,Tasks[[#This Row],[_LeafProgress]]&lt;1,OR(N(Tasks[[#This Row],[Finish Var]])&gt;0,Tasks[[#This Row],[Status]]="Late Start")),MAX(0,Tasks[[#This Row],[Finish Var]])+1-Tasks[[#This Row],[_Row]]/1000000,"")</f>
        <v/>
      </c>
      <c r="GF73" s="42" t="str">
        <f aca="false">IF(AND(Tasks[[#This Row],[_IsLeaf]]=1,N(Tasks[[#This Row],[Actual Start]])=0,Tasks[[#This Row],[_ShownFcstStart]]&gt;=StatusDate,Tasks[[#This Row],[_ShownFcstStart]]&lt;=LookaheadEnd),Tasks[[#This Row],[_ShownFcstStart]]+Tasks[[#This Row],[_Row]]/100000,"")</f>
        <v/>
      </c>
      <c r="GG73" s="42" t="str">
        <f aca="false">IF(AND(Tasks[[#This Row],[_IsLeaf]]=1,Tasks[[#This Row],[_LeafProgress]]&lt;1,Tasks[[#This Row],[_ShownFcstFinish]]&gt;=StatusDate,Tasks[[#This Row],[_ShownFcstFinish]]&lt;=LookaheadEnd),Tasks[[#This Row],[_ShownFcstFinish]]+Tasks[[#This Row],[_Row]]/100000,"")</f>
        <v/>
      </c>
      <c r="GH73" s="42" t="str">
        <f aca="false">IF(Tasks[[#This Row],[_LeafCritical]],Tasks[[#This Row],[_ShownFcstStart]]+Tasks[[#This Row],[_Row]]/100000,"")</f>
        <v/>
      </c>
      <c r="GI73" s="42" t="n">
        <f aca="false">Tasks[[#This Row],[_LeafWork]]*Tasks[[#This Row],[_LeafProgress]]</f>
        <v>0</v>
      </c>
      <c r="GJ73" s="89" t="str">
        <f aca="false">IF(AND(Tasks[[#This Row],[_IsLeaf]]=1,Tasks[[#This Row],[_LeafProgress]]&gt;=1),IF(N(Tasks[[#This Row],[Actual Finish]])&gt;0,Tasks[[#This Row],[Actual Finish]],Tasks[[#This Row],[_ShownFcstFinish]]),"")</f>
        <v/>
      </c>
      <c r="GK73" s="42" t="n">
        <f aca="false">IF(Tasks[[#This Row],[_IsLeaf]]=1,N(Tasks[[#This Row],[Story Points]]),0)</f>
        <v>0</v>
      </c>
      <c r="GL73" s="42" t="str">
        <f aca="false">""</f>
        <v/>
      </c>
      <c r="GM73" s="88" t="b">
        <f aca="false">IF(Tasks[[#This Row],[Task Name]]="",FALSE(),AND(Tasks[[#This Row],[_IsLeaf]]=1,N(Tasks[[#This Row],[_Days]])=0))</f>
        <v>0</v>
      </c>
      <c r="GN73" s="89" t="n">
        <f aca="false">IF(Tasks[[#This Row],[Task Name]]="",0,IF(AND(Tasks[[#This Row],[_IsLeaf]]=1,NOT(Tasks[[#This Row],[_IsMilestone]]),N(Tasks[[#This Row],[Progress]])&gt;0),Tasks[[#This Row],[Start]],0))</f>
        <v>0</v>
      </c>
      <c r="GO73" s="89" t="n">
        <f aca="false">IF(Tasks[[#This Row],[_DoneFrom]]=0,0,IF(Tasks[[#This Row],[Progress]]&gt;=1,Tasks[[#This Row],[Finish]],MAX(Tasks[[#This Row],[_DoneFrom]],Tasks[[#This Row],[Start]]+ROUND((Tasks[[#This Row],[Finish]]-Tasks[[#This Row],[Start]]+1)*Tasks[[#This Row],[Progress]],0)-1)))</f>
        <v>0</v>
      </c>
      <c r="GP73" s="89" t="n">
        <f aca="false">IF(Tasks[[#This Row],[Task Name]]="",0,IF(OR(NOT(Tasks[[#This Row],[_IsLeaf]]=1),Tasks[[#This Row],[_IsMilestone]],N(Tasks[[#This Row],[Progress]])&gt;=1),0,IF(Tasks[[#This Row],[_DoneTo]]&gt;0,Tasks[[#This Row],[_DoneTo]]+1,Tasks[[#This Row],[Start]])))</f>
        <v>0</v>
      </c>
      <c r="GQ73" s="89" t="n">
        <f aca="false">IF(Tasks[[#This Row],[_RemFrom]]=0,0,Tasks[[#This Row],[Finish]])</f>
        <v>0</v>
      </c>
      <c r="GR73" s="88" t="b">
        <f aca="false">IF(Tasks[[#This Row],[Task Name]]="",FALSE(),OR(NOT(BaselineSet),N(Tasks[[#This Row],[Baseline Start]])&gt;0))</f>
        <v>0</v>
      </c>
      <c r="GS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3" s="90" t="str">
        <f aca="false">IF(Tasks[[#This Row],[_IsLeaf]]=1,Tasks[[#This Row],[_Row]],"")</f>
        <v/>
      </c>
      <c r="GW73" s="90" t="str">
        <f aca="false">IFERROR(INDEX(Tasks[UID],SMALL(Tasks[_PickKey],Tasks[[#This Row],[_Row]]))&amp;" "&amp;INDEX(Tasks[Task Name],SMALL(Tasks[_PickKey],Tasks[[#This Row],[_Row]])),"")</f>
        <v/>
      </c>
      <c r="GX73" s="42" t="str">
        <f aca="false">IF(Tasks[[#This Row],[Task Name]]="","",IF(Tasks[[#This Row],[_IsSummary]],NETWORKDAYS.INTL(Tasks[[#This Row],[Start]],Tasks[[#This Row],[Finish]],WorkWeek,Holidays),N(Tasks[[#This Row],[_Days]])))</f>
        <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3"/>
      <c r="U74" s="23"/>
      <c r="V74" s="83"/>
      <c r="W74" s="23"/>
      <c r="X74" s="83"/>
      <c r="Y74" s="23"/>
      <c r="Z74" s="83"/>
      <c r="AA74" s="23"/>
      <c r="AB74" s="23"/>
      <c r="AC74" s="7"/>
      <c r="AD74" s="7"/>
      <c r="AE74" s="62" t="str">
        <f aca="false">IF(Tasks[[#This Row],[Task Name]]="","",IF(Tasks[[#This Row],[_IsSummary]],MIN(INDEX(Tasks[_ShownFcstStart],Tasks[[#This Row],[_Row]]+1):INDEX(Tasks[_ShownFcstStart],Tasks[[#This Row],[_Row]]+Tasks[[#This Row],[_Descendants]])),Tasks[[#This Row],[_ShownFcstStart]]))</f>
        <v/>
      </c>
      <c r="AF74" s="62"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4" s="7"/>
      <c r="AK74" s="22"/>
      <c r="AL74" s="23"/>
      <c r="AM74" s="7"/>
      <c r="AN74" s="46"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2" t="str">
        <f aca="false">IF(Tasks[[#This Row],[Task Name]]="","",IF(N(Tasks[[#This Row],[Baseline Start]])&gt;0,Tasks[[#This Row],[Baseline Start]],Tasks[[#This Row],[_CalcStart]]))</f>
        <v/>
      </c>
      <c r="AR74" s="62" t="str">
        <f aca="false">IF(Tasks[[#This Row],[Task Name]]="","",IF(N(Tasks[[#This Row],[Baseline Finish]])&gt;0,Tasks[[#This Row],[Baseline Finish]],Tasks[[#This Row],[_CalcFinish]]))</f>
        <v/>
      </c>
      <c r="AS74" s="46" t="str">
        <f aca="false">IF(Tasks[[#This Row],[Task Name]]="","",IF(Tasks[[#This Row],[Start]]&gt;=Tasks[[#This Row],[Planned Start]],NETWORKDAYS.INTL(Tasks[[#This Row],[Planned Start]],Tasks[[#This Row],[Start]],WorkWeek,Holidays)-1,1-NETWORKDAYS.INTL(Tasks[[#This Row],[Start]],Tasks[[#This Row],[Planned Start]],WorkWeek,Holidays)))</f>
        <v/>
      </c>
      <c r="AT74" s="62" t="str">
        <f aca="false">IF(Tasks[[#This Row],[Task Name]]="","",IF(Tasks[[#This Row],[_IsSummary]],MIN(INDEX(Tasks[_LeafLateStart],Tasks[[#This Row],[_Row]]+1):INDEX(Tasks[_LeafLateStart],Tasks[[#This Row],[_Row]]+Tasks[[#This Row],[_Descendants]])),Tasks[[#This Row],[_LeafLateStart]]))</f>
        <v/>
      </c>
      <c r="AU74" s="62" t="str">
        <f aca="false">IF(Tasks[[#This Row],[Task Name]]="","",IF(Tasks[[#This Row],[_IsSummary]],MAX(INDEX(Tasks[_LeafLateFinish],Tasks[[#This Row],[_Row]]+1):INDEX(Tasks[_LeafLateFinish],Tasks[[#This Row],[_Row]]+Tasks[[#This Row],[_Descendants]])),Tasks[[#This Row],[_LeafLateFinish]]))</f>
        <v/>
      </c>
      <c r="AV74" s="46"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4"/>
      <c r="BA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5"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6"/>
      <c r="BJ74" s="22"/>
      <c r="BK74" s="46" t="str">
        <f aca="false">IF(OR(Tasks[[#This Row],[Task Name]]="",Tasks[[#This Row],[Baseline Duration]]=""),"",Tasks[[#This Row],[_SpanDays]]-N(Tasks[[#This Row],[Baseline Duration]]))</f>
        <v/>
      </c>
      <c r="BL74" s="85" t="str">
        <f aca="false">IF(OR(Tasks[[#This Row],[Task Name]]="",Tasks[[#This Row],[Baseline Work]]=""),"",Tasks[[#This Row],[Work]]-N(Tasks[[#This Row],[Baseline Work]]))</f>
        <v/>
      </c>
      <c r="BM74" s="62" t="str">
        <f aca="false">IF(Tasks[[#This Row],[Task Name]]="","",IF(OR(TakeBaseline="Yes",N(Tasks[[#This Row],[Baseline Start]])=0),Tasks[[#This Row],[Start]],Tasks[[#This Row],[Baseline Start]]))</f>
        <v/>
      </c>
      <c r="BN74" s="62"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5" t="str">
        <f aca="false">IF(Tasks[[#This Row],[Task Name]]="","",IF(OR(TakeBaseline="Yes",N(Tasks[[#This Row],[Baseline Work]])=0),Tasks[[#This Row],[Work]],Tasks[[#This Row],[Baseline Work]]))</f>
        <v/>
      </c>
      <c r="BQ74" s="7"/>
      <c r="BR74" s="7"/>
      <c r="BS74" s="22"/>
      <c r="BT74" s="87"/>
      <c r="BU74" s="42" t="str">
        <f aca="false">IF(Tasks[[#This Row],[Task Name]]="","",MAX(1,N(Tasks[[#This Row],[Level]])))</f>
        <v/>
      </c>
      <c r="BV74" s="42" t="n">
        <f aca="false">ROW()-ROW(Tasks[[#Headers],[ID]])</f>
        <v>69</v>
      </c>
      <c r="BW74" s="42" t="n">
        <f aca="false">IF(OR(Tasks[[#This Row],[Task Name]]="",Tasks[[#This Row],[_Level]]&lt;=1),0,IFERROR(LOOKUP(2,1/(Tasks[[#Headers],[_Level]]:Tasks[[#This Row],[_Level]]=Tasks[[#This Row],[_Level]]-1),ROW(Tasks[[#Headers],[_Level]]:Tasks[[#This Row],[_Level]])),0))</f>
        <v>0</v>
      </c>
      <c r="BX74" s="42" t="n">
        <f aca="false">IFERROR(N(INDEX(Tasks[_Level],Tasks[[#This Row],[_Row]]+1)),0)</f>
        <v>0</v>
      </c>
      <c r="BY74" s="88" t="b">
        <f aca="false">AND(Tasks[[#This Row],[Task Name]]&lt;&gt;"",Tasks[[#This Row],[_NextLevel]]&gt;Tasks[[#This Row],[_Level]])</f>
        <v>0</v>
      </c>
      <c r="BZ74" s="42" t="n">
        <f aca="false">IF(Tasks[[#This Row],[_IsSummary]],COUNTIF(Tasks[WBS],Tasks[[#This Row],[WBS]]&amp;".*"),0)</f>
        <v>0</v>
      </c>
      <c r="CA74" s="42" t="n">
        <f aca="false">IF(AND(Tasks[[#This Row],[Task Name]]&lt;&gt;"",NOT(Tasks[[#This Row],[_IsSummary]])),1,0)</f>
        <v>0</v>
      </c>
      <c r="CB74" s="42" t="n">
        <f aca="false">IF(N(Tasks[[#This Row],[_Pred1UID]])=0,0,IFERROR(MATCH(Tasks[[#This Row],[_Pred1UID]],Tasks[UID],0),-1))</f>
        <v>0</v>
      </c>
      <c r="CC74" s="42" t="n">
        <f aca="false">IF(N(Tasks[[#This Row],[_Pred2UID]])=0,0,IFERROR(MATCH(Tasks[[#This Row],[_Pred2UID]],Tasks[UID],0),-1))</f>
        <v>0</v>
      </c>
      <c r="CD74" s="42" t="n">
        <f aca="false">IF(N(Tasks[[#This Row],[_Pred3UID]])=0,0,IFERROR(MATCH(Tasks[[#This Row],[_Pred3UID]],Tasks[UID],0),-1))</f>
        <v>0</v>
      </c>
      <c r="CE74" s="42" t="n">
        <f aca="false">IF(N(Tasks[[#This Row],[_Pred4UID]])=0,0,IFERROR(MATCH(Tasks[[#This Row],[_Pred4UID]],Tasks[UID],0),-1))</f>
        <v>0</v>
      </c>
      <c r="CF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4" s="89" t="n">
        <f aca="false">IF(OR(Tasks[[#This Row],[_ConstraintCode]]=2,Tasks[[#This Row],[_ConstraintCode]]=3,Tasks[[#This Row],[_ConstraintCode]]=4,Tasks[[#This Row],[_ConstraintCode]]=6),Tasks[[#This Row],[_ConstraintStart]],0)</f>
        <v>0</v>
      </c>
      <c r="CI74" s="89" t="n">
        <f aca="false">IF(OR(Tasks[[#This Row],[_ConstraintCode]]=2,Tasks[[#This Row],[_ConstraintCode]]=3,Tasks[[#This Row],[_ConstraintCode]]=5,Tasks[[#This Row],[_ConstraintCode]]=7),Tasks[[#This Row],[_ConstraintStart]],2958465)</f>
        <v>2958465</v>
      </c>
      <c r="CJ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4" s="89" t="str">
        <f aca="false">IF(NOT(Tasks[[#This Row],[_IsLeaf]]=1),"",IF(N(Tasks[[#This Row],[_Days]])&lt;=0,Tasks[[#This Row],[_LeafCalcStart]],WORKDAY.INTL(Tasks[[#This Row],[_LeafCalcStart]],Tasks[[#This Row],[_Days]]-1,WorkWeek,Holidays)))</f>
        <v/>
      </c>
      <c r="CL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4" s="42" t="str">
        <f aca="false">IF(Tasks[[#This Row],[_Predecessors]]="","",TRIM(MID(SUBSTITUTE(SUBSTITUTE(SUBSTITUTE(UPPER(Tasks[[#This Row],[_Predecessors]]),";",",")," ",""),",",REPT(" ",99)),1,99)))</f>
        <v/>
      </c>
      <c r="CO74" s="42" t="str">
        <f aca="false">IF(Tasks[[#This Row],[_Pred1Text]]="","",IFERROR(VALUE(LEFT(Tasks[[#This Row],[_Pred1Text]],MIN(FIND("F",Tasks[[#This Row],[_Pred1Text]]&amp;"F"),FIND("S",Tasks[[#This Row],[_Pred1Text]]&amp;"S"),FIND("+",Tasks[[#This Row],[_Pred1Text]]&amp;"+"),FIND("-",Tasks[[#This Row],[_Pred1Text]]&amp;"-"))-1)),""))</f>
        <v/>
      </c>
      <c r="CP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4" s="42" t="str">
        <f aca="false">IF(Tasks[[#This Row],[_Pred1Text]]="","",TRIM(MID(SUBSTITUTE(SUBSTITUTE(SUBSTITUTE(UPPER(Tasks[[#This Row],[_Predecessors]]),";",",")," ",""),",",REPT(" ",99)),100,99)))</f>
        <v/>
      </c>
      <c r="CS74" s="42" t="str">
        <f aca="false">IF(Tasks[[#This Row],[_Pred2Text]]="","",IFERROR(VALUE(LEFT(Tasks[[#This Row],[_Pred2Text]],MIN(FIND("F",Tasks[[#This Row],[_Pred2Text]]&amp;"F"),FIND("S",Tasks[[#This Row],[_Pred2Text]]&amp;"S"),FIND("+",Tasks[[#This Row],[_Pred2Text]]&amp;"+"),FIND("-",Tasks[[#This Row],[_Pred2Text]]&amp;"-"))-1)),""))</f>
        <v/>
      </c>
      <c r="CT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4" s="42" t="str">
        <f aca="false">IF(Tasks[[#This Row],[_Pred2Text]]="","",TRIM(MID(SUBSTITUTE(SUBSTITUTE(SUBSTITUTE(UPPER(Tasks[[#This Row],[_Predecessors]]),";",",")," ",""),",",REPT(" ",99)),199,99)))</f>
        <v/>
      </c>
      <c r="CW74" s="42" t="str">
        <f aca="false">IF(Tasks[[#This Row],[_Pred3Text]]="","",IFERROR(VALUE(LEFT(Tasks[[#This Row],[_Pred3Text]],MIN(FIND("F",Tasks[[#This Row],[_Pred3Text]]&amp;"F"),FIND("S",Tasks[[#This Row],[_Pred3Text]]&amp;"S"),FIND("+",Tasks[[#This Row],[_Pred3Text]]&amp;"+"),FIND("-",Tasks[[#This Row],[_Pred3Text]]&amp;"-"))-1)),""))</f>
        <v/>
      </c>
      <c r="CX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4" s="42" t="str">
        <f aca="false">IF(Tasks[[#This Row],[_Pred3Text]]="","",TRIM(MID(SUBSTITUTE(SUBSTITUTE(SUBSTITUTE(UPPER(Tasks[[#This Row],[_Predecessors]]),";",",")," ",""),",",REPT(" ",99)),298,99)))</f>
        <v/>
      </c>
      <c r="DA74" s="42" t="str">
        <f aca="false">IF(Tasks[[#This Row],[_Pred4Text]]="","",IFERROR(VALUE(LEFT(Tasks[[#This Row],[_Pred4Text]],MIN(FIND("F",Tasks[[#This Row],[_Pred4Text]]&amp;"F"),FIND("S",Tasks[[#This Row],[_Pred4Text]]&amp;"S"),FIND("+",Tasks[[#This Row],[_Pred4Text]]&amp;"+"),FIND("-",Tasks[[#This Row],[_Pred4Text]]&amp;"-"))-1)),""))</f>
        <v/>
      </c>
      <c r="DB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4" s="42" t="str">
        <f aca="false">IF(OR(Tasks[[#This Row],[Task Name]]="",Tasks[[#This Row],[_Resources]]=""),"",TRIM(MID(SUBSTITUTE(Tasks[[#This Row],[_Resources]],",",REPT(" ",99)),1,99)))</f>
        <v/>
      </c>
      <c r="DE74" s="42" t="str">
        <f aca="false">IF(Tasks[[#This Row],[_Res1Text]]="","",TRIM(MID(SUBSTITUTE(Tasks[[#This Row],[_Resources]],",",REPT(" ",99)),100,99)))</f>
        <v/>
      </c>
      <c r="DF74" s="42" t="str">
        <f aca="false">IF(Tasks[[#This Row],[_Res2Text]]="","",TRIM(MID(SUBSTITUTE(Tasks[[#This Row],[_Resources]],",",REPT(" ",99)),199,99)))</f>
        <v/>
      </c>
      <c r="DG74" s="42" t="str">
        <f aca="false">IF(Tasks[[#This Row],[_Res3Text]]="","",TRIM(MID(SUBSTITUTE(Tasks[[#This Row],[_Resources]],",",REPT(" ",99)),298,99)))</f>
        <v/>
      </c>
      <c r="DH74" s="42" t="n">
        <f aca="false">IF(Tasks[[#This Row],[_Res1Text]]="",0,IFERROR(MATCH(TRIM(LEFT(Tasks[[#This Row],[_Res1Text]],FIND("[",Tasks[[#This Row],[_Res1Text]]&amp;"[")-1)),res_Name,0),IFERROR(MATCH(TRIM(LEFT(Tasks[[#This Row],[_Res1Text]],FIND("[",Tasks[[#This Row],[_Res1Text]]&amp;"[")-1)),res_Initials,0),0)))</f>
        <v>0</v>
      </c>
      <c r="DI74" s="42" t="n">
        <f aca="false">IF(Tasks[[#This Row],[_Res2Text]]="",0,IFERROR(MATCH(TRIM(LEFT(Tasks[[#This Row],[_Res2Text]],FIND("[",Tasks[[#This Row],[_Res2Text]]&amp;"[")-1)),res_Name,0),IFERROR(MATCH(TRIM(LEFT(Tasks[[#This Row],[_Res2Text]],FIND("[",Tasks[[#This Row],[_Res2Text]]&amp;"[")-1)),res_Initials,0),0)))</f>
        <v>0</v>
      </c>
      <c r="DJ74" s="42" t="n">
        <f aca="false">IF(Tasks[[#This Row],[_Res3Text]]="",0,IFERROR(MATCH(TRIM(LEFT(Tasks[[#This Row],[_Res3Text]],FIND("[",Tasks[[#This Row],[_Res3Text]]&amp;"[")-1)),res_Name,0),IFERROR(MATCH(TRIM(LEFT(Tasks[[#This Row],[_Res3Text]],FIND("[",Tasks[[#This Row],[_Res3Text]]&amp;"[")-1)),res_Initials,0),0)))</f>
        <v>0</v>
      </c>
      <c r="DK74" s="42" t="n">
        <f aca="false">IF(Tasks[[#This Row],[_Res4Text]]="",0,IFERROR(MATCH(TRIM(LEFT(Tasks[[#This Row],[_Res4Text]],FIND("[",Tasks[[#This Row],[_Res4Text]]&amp;"[")-1)),res_Name,0),IFERROR(MATCH(TRIM(LEFT(Tasks[[#This Row],[_Res4Text]],FIND("[",Tasks[[#This Row],[_Res4Text]]&amp;"[")-1)),res_Initials,0),0)))</f>
        <v>0</v>
      </c>
      <c r="DL74" s="42" t="str">
        <f aca="false">IF(Tasks[[#This Row],[_Res1Text]]="","",IF(Tasks[[#This Row],[_Res1Row]]&gt;0,INDEX(res_Name,Tasks[[#This Row],[_Res1Row]]),TRIM(LEFT(Tasks[[#This Row],[_Res1Text]],FIND("[",Tasks[[#This Row],[_Res1Text]]&amp;"[")-1))))</f>
        <v/>
      </c>
      <c r="DM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4" s="42" t="n">
        <f aca="false">IF(NOT(Tasks[[#This Row],[_IsLeaf]]=1),0,(Tasks[[#This Row],[_Resource1]]&lt;&gt;"")+(Tasks[[#This Row],[_Res2]]&lt;&gt;"")+(Tasks[[#This Row],[_Res3]]&lt;&gt;"")+(Tasks[[#This Row],[_Res4]]&lt;&gt;""))</f>
        <v>0</v>
      </c>
      <c r="DO74" s="42" t="str">
        <f aca="false">IF(Tasks[[#This Row],[_Res2Text]]="","",IF(Tasks[[#This Row],[_Res2Row]]&gt;0,INDEX(res_Name,Tasks[[#This Row],[_Res2Row]]),TRIM(LEFT(Tasks[[#This Row],[_Res2Text]],FIND("[",Tasks[[#This Row],[_Res2Text]]&amp;"[")-1))))</f>
        <v/>
      </c>
      <c r="DP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4" s="42" t="n">
        <f aca="false">IF(OR(NOT(Tasks[[#This Row],[_IsLeaf]]=1),Tasks[[#This Row],[_Res2Row]]=0),0,N(Tasks[[#This Row],[_Days]])*HoursPerDay*IF(Tasks[[#This Row],[_Res2Units]]="",DefaultUnits,Tasks[[#This Row],[_Res2Units]]))</f>
        <v>0</v>
      </c>
      <c r="DR74" s="42" t="n">
        <f aca="false">IF(AND(AND(Tasks[[#This Row],[_IsLeaf]]=1,Tasks[[#This Row],[_LeafTotalWork]]&gt;0),Tasks[[#This Row],[_Res2Work]]&gt;0),Tasks[[#This Row],[_Res2Work]]/(Tasks[[#This Row],[_FinishWorkday]]-Tasks[[#This Row],[_StartWorkday]]+1),0)</f>
        <v>0</v>
      </c>
      <c r="DS74" s="42" t="n">
        <f aca="false">Tasks[[#This Row],[_Res2WorkPerWD]]*MAX(0,Tasks[[#This Row],[_StartWorkday]]-1)</f>
        <v>0</v>
      </c>
      <c r="DT74" s="42" t="n">
        <f aca="false">Tasks[[#This Row],[_Res2Work]]*Tasks[[#This Row],[_LeafProgress]]</f>
        <v>0</v>
      </c>
      <c r="DU74" s="42" t="str">
        <f aca="false">IF(Tasks[[#This Row],[_Res3Text]]="","",IF(Tasks[[#This Row],[_Res3Row]]&gt;0,INDEX(res_Name,Tasks[[#This Row],[_Res3Row]]),TRIM(LEFT(Tasks[[#This Row],[_Res3Text]],FIND("[",Tasks[[#This Row],[_Res3Text]]&amp;"[")-1))))</f>
        <v/>
      </c>
      <c r="DV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4" s="42" t="n">
        <f aca="false">IF(OR(NOT(Tasks[[#This Row],[_IsLeaf]]=1),Tasks[[#This Row],[_Res3Row]]=0),0,N(Tasks[[#This Row],[_Days]])*HoursPerDay*IF(Tasks[[#This Row],[_Res3Units]]="",DefaultUnits,Tasks[[#This Row],[_Res3Units]]))</f>
        <v>0</v>
      </c>
      <c r="DX74" s="42" t="n">
        <f aca="false">IF(AND(AND(Tasks[[#This Row],[_IsLeaf]]=1,Tasks[[#This Row],[_LeafTotalWork]]&gt;0),Tasks[[#This Row],[_Res3Work]]&gt;0),Tasks[[#This Row],[_Res3Work]]/(Tasks[[#This Row],[_FinishWorkday]]-Tasks[[#This Row],[_StartWorkday]]+1),0)</f>
        <v>0</v>
      </c>
      <c r="DY74" s="42" t="n">
        <f aca="false">Tasks[[#This Row],[_Res3WorkPerWD]]*MAX(0,Tasks[[#This Row],[_StartWorkday]]-1)</f>
        <v>0</v>
      </c>
      <c r="DZ74" s="42" t="n">
        <f aca="false">Tasks[[#This Row],[_Res3Work]]*Tasks[[#This Row],[_LeafProgress]]</f>
        <v>0</v>
      </c>
      <c r="EA74" s="42" t="str">
        <f aca="false">IF(Tasks[[#This Row],[_Res4Text]]="","",IF(Tasks[[#This Row],[_Res4Row]]&gt;0,INDEX(res_Name,Tasks[[#This Row],[_Res4Row]]),TRIM(LEFT(Tasks[[#This Row],[_Res4Text]],FIND("[",Tasks[[#This Row],[_Res4Text]]&amp;"[")-1))))</f>
        <v/>
      </c>
      <c r="EB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4" s="42" t="n">
        <f aca="false">IF(OR(NOT(Tasks[[#This Row],[_IsLeaf]]=1),Tasks[[#This Row],[_Res4Row]]=0),0,N(Tasks[[#This Row],[_Days]])*HoursPerDay*IF(Tasks[[#This Row],[_Res4Units]]="",DefaultUnits,Tasks[[#This Row],[_Res4Units]]))</f>
        <v>0</v>
      </c>
      <c r="ED74" s="42" t="n">
        <f aca="false">IF(AND(AND(Tasks[[#This Row],[_IsLeaf]]=1,Tasks[[#This Row],[_LeafTotalWork]]&gt;0),Tasks[[#This Row],[_Res4Work]]&gt;0),Tasks[[#This Row],[_Res4Work]]/(Tasks[[#This Row],[_FinishWorkday]]-Tasks[[#This Row],[_StartWorkday]]+1),0)</f>
        <v>0</v>
      </c>
      <c r="EE74" s="42" t="n">
        <f aca="false">Tasks[[#This Row],[_Res4WorkPerWD]]*MAX(0,Tasks[[#This Row],[_StartWorkday]]-1)</f>
        <v>0</v>
      </c>
      <c r="EF74" s="42" t="n">
        <f aca="false">Tasks[[#This Row],[_Res4Work]]*Tasks[[#This Row],[_LeafProgress]]</f>
        <v>0</v>
      </c>
      <c r="EG74" s="42" t="n">
        <f aca="false">IF(ISNUMBER(Tasks[[#This Row],[% Complete]]),Tasks[[#This Row],[% Complete]],IF(Tasks[[#This Row],[Stage]]="",0,IFERROR(INDEX(stg_Pct,MATCH(Tasks[[#This Row],[Stage]],stg_Name,0)),0)))</f>
        <v>0</v>
      </c>
      <c r="EH74" s="42" t="n">
        <f aca="false">IF(NOT(Tasks[[#This Row],[_IsLeaf]]=1),0,IF(N(Tasks[[#This Row],[Actual Finish]])&gt;0,1,MIN(1,Tasks[[#This Row],[_Pct]])))</f>
        <v>0</v>
      </c>
      <c r="EI74" s="42" t="n">
        <f aca="false">IF(OR(NOT(Tasks[[#This Row],[_IsLeaf]]=1),Tasks[[#This Row],[_Res1Row]]=0),0,N(Tasks[[#This Row],[_Days]])*HoursPerDay*IF(Tasks[[#This Row],[_Units1]]="",DefaultUnits,Tasks[[#This Row],[_Units1]]))</f>
        <v>0</v>
      </c>
      <c r="EJ74" s="42" t="n">
        <f aca="false">Tasks[[#This Row],[_LeafWork]]+Tasks[[#This Row],[_Res2Work]]+Tasks[[#This Row],[_Res3Work]]+Tasks[[#This Row],[_Res4Work]]</f>
        <v>0</v>
      </c>
      <c r="EK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4" s="42" t="n">
        <f aca="false">IF(NOT(Tasks[[#This Row],[_IsLeaf]]=1),0,MAX(_xlfn.MAXIFS(Tasks[_Row],Tasks[_Pred1UID],Tasks[[#This Row],[UID]]),_xlfn.MAXIFS(Tasks[_Row],Tasks[_Pred2UID],Tasks[[#This Row],[UID]]),_xlfn.MAXIFS(Tasks[_Row],Tasks[_Pred3UID],Tasks[[#This Row],[UID]]),_xlfn.MAXIFS(Tasks[_Row],Tasks[_Pred4UID],Tasks[[#This Row],[UID]])))</f>
        <v>0</v>
      </c>
      <c r="ET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4" s="89" t="str">
        <f aca="false">IF(NOT(Tasks[[#This Row],[_IsLeaf]]=1),"",IF(N(Tasks[[#This Row],[_Days]])&lt;=0,Tasks[[#This Row],[_LeafLateFinish]],WORKDAY.INTL(Tasks[[#This Row],[_LeafLateFinish]],-(Tasks[[#This Row],[_Days]]-1),WorkWeek,Holidays)))</f>
        <v/>
      </c>
      <c r="EW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4" s="88" t="b">
        <f aca="false">AND(Tasks[[#This Row],[_IsLeaf]]=1,Tasks[[#This Row],[_LeafProgress]]&lt;1,N(Tasks[[#This Row],[_LeafTotalSlack]])&lt;=CriticalSlackDays)</f>
        <v>0</v>
      </c>
      <c r="EY74" s="42" t="n">
        <f aca="false">IF(AND(Tasks[[#This Row],[_IsLeaf]]=1,Tasks[[#This Row],[_ConstraintCode]]=1,Tasks[[#This Row],[Mode]]&lt;&gt;"Manual",N(Tasks[[#This Row],[Actual Start]])=0),MAX(0,N(Tasks[[#This Row],[Free Slack]])),0)</f>
        <v>0</v>
      </c>
      <c r="EZ74" s="89" t="str">
        <f aca="false">IF(NOT(Tasks[[#This Row],[_IsLeaf]]=1),"",IF(Tasks[[#This Row],[_AlapShift]]=0,Tasks[[#This Row],[_LeafCalcStart]],WORKDAY.INTL(Tasks[[#This Row],[_LeafCalcStart]],Tasks[[#This Row],[_AlapShift]],WorkWeek,Holidays)))</f>
        <v/>
      </c>
      <c r="FA74" s="89" t="str">
        <f aca="false">IF(NOT(Tasks[[#This Row],[_IsLeaf]]=1),"",IF(Tasks[[#This Row],[_AlapShift]]=0,Tasks[[#This Row],[_LeafCalcFinish]],WORKDAY.INTL(Tasks[[#This Row],[_LeafCalcFinish]],Tasks[[#This Row],[_AlapShift]],WorkWeek,Holidays)))</f>
        <v/>
      </c>
      <c r="FB74" s="89" t="str">
        <f aca="false">IF(NOT(Tasks[[#This Row],[_IsLeaf]]=1),"",IF(Tasks[[#This Row],[_AlapShift]]=0,Tasks[[#This Row],[_LeafFcstStart]],WORKDAY.INTL(Tasks[[#This Row],[_LeafFcstStart]],Tasks[[#This Row],[_AlapShift]],WorkWeek,Holidays)))</f>
        <v/>
      </c>
      <c r="FC74" s="89" t="str">
        <f aca="false">IF(NOT(Tasks[[#This Row],[_IsLeaf]]=1),"",IF(Tasks[[#This Row],[_AlapShift]]=0,Tasks[[#This Row],[_LeafFcstFinish]],WORKDAY.INTL(Tasks[[#This Row],[_LeafFcstFinish]],Tasks[[#This Row],[_AlapShift]],WorkWeek,Holidays)))</f>
        <v/>
      </c>
      <c r="FD74" s="89" t="str">
        <f aca="false">IF(Tasks[[#This Row],[Task Name]]="","",IF(Tasks[[#This Row],[_IsSummary]],MIN(INDEX(Tasks[_ShownCalcStart],Tasks[[#This Row],[_Row]]+1):INDEX(Tasks[_ShownCalcStart],Tasks[[#This Row],[_Row]]+Tasks[[#This Row],[_Descendants]])),Tasks[[#This Row],[_ShownCalcStart]]))</f>
        <v/>
      </c>
      <c r="FE74" s="89" t="str">
        <f aca="false">IF(Tasks[[#This Row],[Task Name]]="","",IF(Tasks[[#This Row],[_IsSummary]],MAX(INDEX(Tasks[_ShownCalcFinish],Tasks[[#This Row],[_Row]]+1):INDEX(Tasks[_ShownCalcFinish],Tasks[[#This Row],[_Row]]+Tasks[[#This Row],[_Descendants]])),Tasks[[#This Row],[_ShownCalcFinish]]))</f>
        <v/>
      </c>
      <c r="FF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4" s="42" t="n">
        <f aca="false">IF(AND(Tasks[[#This Row],[_IsLeaf]]=1,Tasks[[#This Row],[_LeafTotalWork]]&gt;0),NETWORKDAYS.INTL(ProjectStart,Tasks[[#This Row],[_ShownFcstStart]],WorkWeek,Holidays),0)</f>
        <v>0</v>
      </c>
      <c r="FS74" s="42" t="n">
        <f aca="false">IF(AND(Tasks[[#This Row],[_IsLeaf]]=1,Tasks[[#This Row],[_LeafTotalWork]]&gt;0),MAX(Tasks[[#This Row],[_StartWorkday]],NETWORKDAYS.INTL(ProjectStart,Tasks[[#This Row],[_ShownFcstFinish]],WorkWeek,Holidays)),0)</f>
        <v>0</v>
      </c>
      <c r="FT74" s="42" t="n">
        <f aca="false">IF(AND(Tasks[[#This Row],[_IsLeaf]]=1,Tasks[[#This Row],[_LeafTotalWork]]&gt;0),Tasks[[#This Row],[_LeafWork]]/(Tasks[[#This Row],[_FinishWorkday]]-Tasks[[#This Row],[_StartWorkday]]+1),0)</f>
        <v>0</v>
      </c>
      <c r="FU74" s="42" t="n">
        <f aca="false">Tasks[[#This Row],[_WorkPerWorkday]]*(Tasks[[#This Row],[_StartWorkday]]-1)</f>
        <v>-0</v>
      </c>
      <c r="FV74" s="42" t="n">
        <f aca="false">IF(Tasks[[#This Row],[_IsLeaf]]=1,MAX(N(Tasks[[#This Row],[_Days]]),0.1),0)</f>
        <v>0</v>
      </c>
      <c r="FW74" s="42" t="n">
        <f aca="false">Tasks[[#This Row],[_WeightDur]]*Tasks[[#This Row],[_LeafProgress]]</f>
        <v>0</v>
      </c>
      <c r="FX74" s="42" t="n">
        <f aca="false">Tasks[[#This Row],[_WeightDur]]*Tasks[[#This Row],[_PlannedPct]]</f>
        <v>0</v>
      </c>
      <c r="FY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4" s="42" t="str">
        <f aca="false">IF(AND(Tasks[[#This Row],[_IsLeaf]]=1,N(Tasks[[#This Row],[_Days]])=0,Tasks[[#This Row],[_LeafProgress]]&lt;1),Tasks[[#This Row],[_ShownFcstFinish]]+Tasks[[#This Row],[_Row]]/100000,"")</f>
        <v/>
      </c>
      <c r="GA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4" s="42" t="str">
        <f aca="false">IF(Tasks[[#This Row],[Task Name]]="","",LEFT(Tasks[[#This Row],[WBS]],FIND(".",Tasks[[#This Row],[WBS]]&amp;".")-1))</f>
        <v/>
      </c>
      <c r="GC74" s="42" t="str">
        <f aca="false">IF(AND(Tasks[[#This Row],[Task Name]]&lt;&gt;"",Tasks[[#This Row],[_Level]]=1),Tasks[[#This Row],[_Row]],"")</f>
        <v/>
      </c>
      <c r="GD74" s="42" t="str">
        <f aca="false">IF(AND(Tasks[[#This Row],[_IsLeaf]]=1,N(Tasks[[#This Row],[_Days]])=0),Tasks[[#This Row],[Planned Finish]]+Tasks[[#This Row],[_Row]]/100000,"")</f>
        <v/>
      </c>
      <c r="GE74" s="42" t="str">
        <f aca="false">IF(AND(Tasks[[#This Row],[_IsLeaf]]=1,Tasks[[#This Row],[_LeafProgress]]&lt;1,OR(N(Tasks[[#This Row],[Finish Var]])&gt;0,Tasks[[#This Row],[Status]]="Late Start")),MAX(0,Tasks[[#This Row],[Finish Var]])+1-Tasks[[#This Row],[_Row]]/1000000,"")</f>
        <v/>
      </c>
      <c r="GF74" s="42" t="str">
        <f aca="false">IF(AND(Tasks[[#This Row],[_IsLeaf]]=1,N(Tasks[[#This Row],[Actual Start]])=0,Tasks[[#This Row],[_ShownFcstStart]]&gt;=StatusDate,Tasks[[#This Row],[_ShownFcstStart]]&lt;=LookaheadEnd),Tasks[[#This Row],[_ShownFcstStart]]+Tasks[[#This Row],[_Row]]/100000,"")</f>
        <v/>
      </c>
      <c r="GG74" s="42" t="str">
        <f aca="false">IF(AND(Tasks[[#This Row],[_IsLeaf]]=1,Tasks[[#This Row],[_LeafProgress]]&lt;1,Tasks[[#This Row],[_ShownFcstFinish]]&gt;=StatusDate,Tasks[[#This Row],[_ShownFcstFinish]]&lt;=LookaheadEnd),Tasks[[#This Row],[_ShownFcstFinish]]+Tasks[[#This Row],[_Row]]/100000,"")</f>
        <v/>
      </c>
      <c r="GH74" s="42" t="str">
        <f aca="false">IF(Tasks[[#This Row],[_LeafCritical]],Tasks[[#This Row],[_ShownFcstStart]]+Tasks[[#This Row],[_Row]]/100000,"")</f>
        <v/>
      </c>
      <c r="GI74" s="42" t="n">
        <f aca="false">Tasks[[#This Row],[_LeafWork]]*Tasks[[#This Row],[_LeafProgress]]</f>
        <v>0</v>
      </c>
      <c r="GJ74" s="89" t="str">
        <f aca="false">IF(AND(Tasks[[#This Row],[_IsLeaf]]=1,Tasks[[#This Row],[_LeafProgress]]&gt;=1),IF(N(Tasks[[#This Row],[Actual Finish]])&gt;0,Tasks[[#This Row],[Actual Finish]],Tasks[[#This Row],[_ShownFcstFinish]]),"")</f>
        <v/>
      </c>
      <c r="GK74" s="42" t="n">
        <f aca="false">IF(Tasks[[#This Row],[_IsLeaf]]=1,N(Tasks[[#This Row],[Story Points]]),0)</f>
        <v>0</v>
      </c>
      <c r="GL74" s="42" t="str">
        <f aca="false">""</f>
        <v/>
      </c>
      <c r="GM74" s="88" t="b">
        <f aca="false">IF(Tasks[[#This Row],[Task Name]]="",FALSE(),AND(Tasks[[#This Row],[_IsLeaf]]=1,N(Tasks[[#This Row],[_Days]])=0))</f>
        <v>0</v>
      </c>
      <c r="GN74" s="89" t="n">
        <f aca="false">IF(Tasks[[#This Row],[Task Name]]="",0,IF(AND(Tasks[[#This Row],[_IsLeaf]]=1,NOT(Tasks[[#This Row],[_IsMilestone]]),N(Tasks[[#This Row],[Progress]])&gt;0),Tasks[[#This Row],[Start]],0))</f>
        <v>0</v>
      </c>
      <c r="GO74" s="89" t="n">
        <f aca="false">IF(Tasks[[#This Row],[_DoneFrom]]=0,0,IF(Tasks[[#This Row],[Progress]]&gt;=1,Tasks[[#This Row],[Finish]],MAX(Tasks[[#This Row],[_DoneFrom]],Tasks[[#This Row],[Start]]+ROUND((Tasks[[#This Row],[Finish]]-Tasks[[#This Row],[Start]]+1)*Tasks[[#This Row],[Progress]],0)-1)))</f>
        <v>0</v>
      </c>
      <c r="GP74" s="89" t="n">
        <f aca="false">IF(Tasks[[#This Row],[Task Name]]="",0,IF(OR(NOT(Tasks[[#This Row],[_IsLeaf]]=1),Tasks[[#This Row],[_IsMilestone]],N(Tasks[[#This Row],[Progress]])&gt;=1),0,IF(Tasks[[#This Row],[_DoneTo]]&gt;0,Tasks[[#This Row],[_DoneTo]]+1,Tasks[[#This Row],[Start]])))</f>
        <v>0</v>
      </c>
      <c r="GQ74" s="89" t="n">
        <f aca="false">IF(Tasks[[#This Row],[_RemFrom]]=0,0,Tasks[[#This Row],[Finish]])</f>
        <v>0</v>
      </c>
      <c r="GR74" s="88" t="b">
        <f aca="false">IF(Tasks[[#This Row],[Task Name]]="",FALSE(),OR(NOT(BaselineSet),N(Tasks[[#This Row],[Baseline Start]])&gt;0))</f>
        <v>0</v>
      </c>
      <c r="GS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4" s="90" t="str">
        <f aca="false">IF(Tasks[[#This Row],[_IsLeaf]]=1,Tasks[[#This Row],[_Row]],"")</f>
        <v/>
      </c>
      <c r="GW74" s="90" t="str">
        <f aca="false">IFERROR(INDEX(Tasks[UID],SMALL(Tasks[_PickKey],Tasks[[#This Row],[_Row]]))&amp;" "&amp;INDEX(Tasks[Task Name],SMALL(Tasks[_PickKey],Tasks[[#This Row],[_Row]])),"")</f>
        <v/>
      </c>
      <c r="GX74" s="42" t="str">
        <f aca="false">IF(Tasks[[#This Row],[Task Name]]="","",IF(Tasks[[#This Row],[_IsSummary]],NETWORKDAYS.INTL(Tasks[[#This Row],[Start]],Tasks[[#This Row],[Finish]],WorkWeek,Holidays),N(Tasks[[#This Row],[_Days]])))</f>
        <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3"/>
      <c r="U75" s="23"/>
      <c r="V75" s="83"/>
      <c r="W75" s="23"/>
      <c r="X75" s="83"/>
      <c r="Y75" s="23"/>
      <c r="Z75" s="83"/>
      <c r="AA75" s="23"/>
      <c r="AB75" s="23"/>
      <c r="AC75" s="7"/>
      <c r="AD75" s="7"/>
      <c r="AE75" s="62" t="str">
        <f aca="false">IF(Tasks[[#This Row],[Task Name]]="","",IF(Tasks[[#This Row],[_IsSummary]],MIN(INDEX(Tasks[_ShownFcstStart],Tasks[[#This Row],[_Row]]+1):INDEX(Tasks[_ShownFcstStart],Tasks[[#This Row],[_Row]]+Tasks[[#This Row],[_Descendants]])),Tasks[[#This Row],[_ShownFcstStart]]))</f>
        <v/>
      </c>
      <c r="AF75" s="62"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5" s="7"/>
      <c r="AK75" s="22"/>
      <c r="AL75" s="23"/>
      <c r="AM75" s="7"/>
      <c r="AN75" s="46"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2" t="str">
        <f aca="false">IF(Tasks[[#This Row],[Task Name]]="","",IF(N(Tasks[[#This Row],[Baseline Start]])&gt;0,Tasks[[#This Row],[Baseline Start]],Tasks[[#This Row],[_CalcStart]]))</f>
        <v/>
      </c>
      <c r="AR75" s="62" t="str">
        <f aca="false">IF(Tasks[[#This Row],[Task Name]]="","",IF(N(Tasks[[#This Row],[Baseline Finish]])&gt;0,Tasks[[#This Row],[Baseline Finish]],Tasks[[#This Row],[_CalcFinish]]))</f>
        <v/>
      </c>
      <c r="AS75" s="46" t="str">
        <f aca="false">IF(Tasks[[#This Row],[Task Name]]="","",IF(Tasks[[#This Row],[Start]]&gt;=Tasks[[#This Row],[Planned Start]],NETWORKDAYS.INTL(Tasks[[#This Row],[Planned Start]],Tasks[[#This Row],[Start]],WorkWeek,Holidays)-1,1-NETWORKDAYS.INTL(Tasks[[#This Row],[Start]],Tasks[[#This Row],[Planned Start]],WorkWeek,Holidays)))</f>
        <v/>
      </c>
      <c r="AT75" s="62" t="str">
        <f aca="false">IF(Tasks[[#This Row],[Task Name]]="","",IF(Tasks[[#This Row],[_IsSummary]],MIN(INDEX(Tasks[_LeafLateStart],Tasks[[#This Row],[_Row]]+1):INDEX(Tasks[_LeafLateStart],Tasks[[#This Row],[_Row]]+Tasks[[#This Row],[_Descendants]])),Tasks[[#This Row],[_LeafLateStart]]))</f>
        <v/>
      </c>
      <c r="AU75" s="62" t="str">
        <f aca="false">IF(Tasks[[#This Row],[Task Name]]="","",IF(Tasks[[#This Row],[_IsSummary]],MAX(INDEX(Tasks[_LeafLateFinish],Tasks[[#This Row],[_Row]]+1):INDEX(Tasks[_LeafLateFinish],Tasks[[#This Row],[_Row]]+Tasks[[#This Row],[_Descendants]])),Tasks[[#This Row],[_LeafLateFinish]]))</f>
        <v/>
      </c>
      <c r="AV75" s="46"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4"/>
      <c r="BA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5"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6"/>
      <c r="BJ75" s="22"/>
      <c r="BK75" s="46" t="str">
        <f aca="false">IF(OR(Tasks[[#This Row],[Task Name]]="",Tasks[[#This Row],[Baseline Duration]]=""),"",Tasks[[#This Row],[_SpanDays]]-N(Tasks[[#This Row],[Baseline Duration]]))</f>
        <v/>
      </c>
      <c r="BL75" s="85" t="str">
        <f aca="false">IF(OR(Tasks[[#This Row],[Task Name]]="",Tasks[[#This Row],[Baseline Work]]=""),"",Tasks[[#This Row],[Work]]-N(Tasks[[#This Row],[Baseline Work]]))</f>
        <v/>
      </c>
      <c r="BM75" s="62" t="str">
        <f aca="false">IF(Tasks[[#This Row],[Task Name]]="","",IF(OR(TakeBaseline="Yes",N(Tasks[[#This Row],[Baseline Start]])=0),Tasks[[#This Row],[Start]],Tasks[[#This Row],[Baseline Start]]))</f>
        <v/>
      </c>
      <c r="BN75" s="62"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5" t="str">
        <f aca="false">IF(Tasks[[#This Row],[Task Name]]="","",IF(OR(TakeBaseline="Yes",N(Tasks[[#This Row],[Baseline Work]])=0),Tasks[[#This Row],[Work]],Tasks[[#This Row],[Baseline Work]]))</f>
        <v/>
      </c>
      <c r="BQ75" s="7"/>
      <c r="BR75" s="7"/>
      <c r="BS75" s="22"/>
      <c r="BT75" s="87"/>
      <c r="BU75" s="42" t="str">
        <f aca="false">IF(Tasks[[#This Row],[Task Name]]="","",MAX(1,N(Tasks[[#This Row],[Level]])))</f>
        <v/>
      </c>
      <c r="BV75" s="42" t="n">
        <f aca="false">ROW()-ROW(Tasks[[#Headers],[ID]])</f>
        <v>70</v>
      </c>
      <c r="BW75" s="42" t="n">
        <f aca="false">IF(OR(Tasks[[#This Row],[Task Name]]="",Tasks[[#This Row],[_Level]]&lt;=1),0,IFERROR(LOOKUP(2,1/(Tasks[[#Headers],[_Level]]:Tasks[[#This Row],[_Level]]=Tasks[[#This Row],[_Level]]-1),ROW(Tasks[[#Headers],[_Level]]:Tasks[[#This Row],[_Level]])),0))</f>
        <v>0</v>
      </c>
      <c r="BX75" s="42" t="n">
        <f aca="false">IFERROR(N(INDEX(Tasks[_Level],Tasks[[#This Row],[_Row]]+1)),0)</f>
        <v>0</v>
      </c>
      <c r="BY75" s="88" t="b">
        <f aca="false">AND(Tasks[[#This Row],[Task Name]]&lt;&gt;"",Tasks[[#This Row],[_NextLevel]]&gt;Tasks[[#This Row],[_Level]])</f>
        <v>0</v>
      </c>
      <c r="BZ75" s="42" t="n">
        <f aca="false">IF(Tasks[[#This Row],[_IsSummary]],COUNTIF(Tasks[WBS],Tasks[[#This Row],[WBS]]&amp;".*"),0)</f>
        <v>0</v>
      </c>
      <c r="CA75" s="42" t="n">
        <f aca="false">IF(AND(Tasks[[#This Row],[Task Name]]&lt;&gt;"",NOT(Tasks[[#This Row],[_IsSummary]])),1,0)</f>
        <v>0</v>
      </c>
      <c r="CB75" s="42" t="n">
        <f aca="false">IF(N(Tasks[[#This Row],[_Pred1UID]])=0,0,IFERROR(MATCH(Tasks[[#This Row],[_Pred1UID]],Tasks[UID],0),-1))</f>
        <v>0</v>
      </c>
      <c r="CC75" s="42" t="n">
        <f aca="false">IF(N(Tasks[[#This Row],[_Pred2UID]])=0,0,IFERROR(MATCH(Tasks[[#This Row],[_Pred2UID]],Tasks[UID],0),-1))</f>
        <v>0</v>
      </c>
      <c r="CD75" s="42" t="n">
        <f aca="false">IF(N(Tasks[[#This Row],[_Pred3UID]])=0,0,IFERROR(MATCH(Tasks[[#This Row],[_Pred3UID]],Tasks[UID],0),-1))</f>
        <v>0</v>
      </c>
      <c r="CE75" s="42" t="n">
        <f aca="false">IF(N(Tasks[[#This Row],[_Pred4UID]])=0,0,IFERROR(MATCH(Tasks[[#This Row],[_Pred4UID]],Tasks[UID],0),-1))</f>
        <v>0</v>
      </c>
      <c r="CF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5" s="89" t="n">
        <f aca="false">IF(OR(Tasks[[#This Row],[_ConstraintCode]]=2,Tasks[[#This Row],[_ConstraintCode]]=3,Tasks[[#This Row],[_ConstraintCode]]=4,Tasks[[#This Row],[_ConstraintCode]]=6),Tasks[[#This Row],[_ConstraintStart]],0)</f>
        <v>0</v>
      </c>
      <c r="CI75" s="89" t="n">
        <f aca="false">IF(OR(Tasks[[#This Row],[_ConstraintCode]]=2,Tasks[[#This Row],[_ConstraintCode]]=3,Tasks[[#This Row],[_ConstraintCode]]=5,Tasks[[#This Row],[_ConstraintCode]]=7),Tasks[[#This Row],[_ConstraintStart]],2958465)</f>
        <v>2958465</v>
      </c>
      <c r="CJ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5" s="89" t="str">
        <f aca="false">IF(NOT(Tasks[[#This Row],[_IsLeaf]]=1),"",IF(N(Tasks[[#This Row],[_Days]])&lt;=0,Tasks[[#This Row],[_LeafCalcStart]],WORKDAY.INTL(Tasks[[#This Row],[_LeafCalcStart]],Tasks[[#This Row],[_Days]]-1,WorkWeek,Holidays)))</f>
        <v/>
      </c>
      <c r="CL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5" s="42" t="str">
        <f aca="false">IF(Tasks[[#This Row],[_Predecessors]]="","",TRIM(MID(SUBSTITUTE(SUBSTITUTE(SUBSTITUTE(UPPER(Tasks[[#This Row],[_Predecessors]]),";",",")," ",""),",",REPT(" ",99)),1,99)))</f>
        <v/>
      </c>
      <c r="CO75" s="42" t="str">
        <f aca="false">IF(Tasks[[#This Row],[_Pred1Text]]="","",IFERROR(VALUE(LEFT(Tasks[[#This Row],[_Pred1Text]],MIN(FIND("F",Tasks[[#This Row],[_Pred1Text]]&amp;"F"),FIND("S",Tasks[[#This Row],[_Pred1Text]]&amp;"S"),FIND("+",Tasks[[#This Row],[_Pred1Text]]&amp;"+"),FIND("-",Tasks[[#This Row],[_Pred1Text]]&amp;"-"))-1)),""))</f>
        <v/>
      </c>
      <c r="CP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5" s="42" t="str">
        <f aca="false">IF(Tasks[[#This Row],[_Pred1Text]]="","",TRIM(MID(SUBSTITUTE(SUBSTITUTE(SUBSTITUTE(UPPER(Tasks[[#This Row],[_Predecessors]]),";",",")," ",""),",",REPT(" ",99)),100,99)))</f>
        <v/>
      </c>
      <c r="CS75" s="42" t="str">
        <f aca="false">IF(Tasks[[#This Row],[_Pred2Text]]="","",IFERROR(VALUE(LEFT(Tasks[[#This Row],[_Pred2Text]],MIN(FIND("F",Tasks[[#This Row],[_Pred2Text]]&amp;"F"),FIND("S",Tasks[[#This Row],[_Pred2Text]]&amp;"S"),FIND("+",Tasks[[#This Row],[_Pred2Text]]&amp;"+"),FIND("-",Tasks[[#This Row],[_Pred2Text]]&amp;"-"))-1)),""))</f>
        <v/>
      </c>
      <c r="CT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5" s="42" t="str">
        <f aca="false">IF(Tasks[[#This Row],[_Pred2Text]]="","",TRIM(MID(SUBSTITUTE(SUBSTITUTE(SUBSTITUTE(UPPER(Tasks[[#This Row],[_Predecessors]]),";",",")," ",""),",",REPT(" ",99)),199,99)))</f>
        <v/>
      </c>
      <c r="CW75" s="42" t="str">
        <f aca="false">IF(Tasks[[#This Row],[_Pred3Text]]="","",IFERROR(VALUE(LEFT(Tasks[[#This Row],[_Pred3Text]],MIN(FIND("F",Tasks[[#This Row],[_Pred3Text]]&amp;"F"),FIND("S",Tasks[[#This Row],[_Pred3Text]]&amp;"S"),FIND("+",Tasks[[#This Row],[_Pred3Text]]&amp;"+"),FIND("-",Tasks[[#This Row],[_Pred3Text]]&amp;"-"))-1)),""))</f>
        <v/>
      </c>
      <c r="CX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5" s="42" t="str">
        <f aca="false">IF(Tasks[[#This Row],[_Pred3Text]]="","",TRIM(MID(SUBSTITUTE(SUBSTITUTE(SUBSTITUTE(UPPER(Tasks[[#This Row],[_Predecessors]]),";",",")," ",""),",",REPT(" ",99)),298,99)))</f>
        <v/>
      </c>
      <c r="DA75" s="42" t="str">
        <f aca="false">IF(Tasks[[#This Row],[_Pred4Text]]="","",IFERROR(VALUE(LEFT(Tasks[[#This Row],[_Pred4Text]],MIN(FIND("F",Tasks[[#This Row],[_Pred4Text]]&amp;"F"),FIND("S",Tasks[[#This Row],[_Pred4Text]]&amp;"S"),FIND("+",Tasks[[#This Row],[_Pred4Text]]&amp;"+"),FIND("-",Tasks[[#This Row],[_Pred4Text]]&amp;"-"))-1)),""))</f>
        <v/>
      </c>
      <c r="DB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5" s="42" t="str">
        <f aca="false">IF(OR(Tasks[[#This Row],[Task Name]]="",Tasks[[#This Row],[_Resources]]=""),"",TRIM(MID(SUBSTITUTE(Tasks[[#This Row],[_Resources]],",",REPT(" ",99)),1,99)))</f>
        <v/>
      </c>
      <c r="DE75" s="42" t="str">
        <f aca="false">IF(Tasks[[#This Row],[_Res1Text]]="","",TRIM(MID(SUBSTITUTE(Tasks[[#This Row],[_Resources]],",",REPT(" ",99)),100,99)))</f>
        <v/>
      </c>
      <c r="DF75" s="42" t="str">
        <f aca="false">IF(Tasks[[#This Row],[_Res2Text]]="","",TRIM(MID(SUBSTITUTE(Tasks[[#This Row],[_Resources]],",",REPT(" ",99)),199,99)))</f>
        <v/>
      </c>
      <c r="DG75" s="42" t="str">
        <f aca="false">IF(Tasks[[#This Row],[_Res3Text]]="","",TRIM(MID(SUBSTITUTE(Tasks[[#This Row],[_Resources]],",",REPT(" ",99)),298,99)))</f>
        <v/>
      </c>
      <c r="DH75" s="42" t="n">
        <f aca="false">IF(Tasks[[#This Row],[_Res1Text]]="",0,IFERROR(MATCH(TRIM(LEFT(Tasks[[#This Row],[_Res1Text]],FIND("[",Tasks[[#This Row],[_Res1Text]]&amp;"[")-1)),res_Name,0),IFERROR(MATCH(TRIM(LEFT(Tasks[[#This Row],[_Res1Text]],FIND("[",Tasks[[#This Row],[_Res1Text]]&amp;"[")-1)),res_Initials,0),0)))</f>
        <v>0</v>
      </c>
      <c r="DI75" s="42" t="n">
        <f aca="false">IF(Tasks[[#This Row],[_Res2Text]]="",0,IFERROR(MATCH(TRIM(LEFT(Tasks[[#This Row],[_Res2Text]],FIND("[",Tasks[[#This Row],[_Res2Text]]&amp;"[")-1)),res_Name,0),IFERROR(MATCH(TRIM(LEFT(Tasks[[#This Row],[_Res2Text]],FIND("[",Tasks[[#This Row],[_Res2Text]]&amp;"[")-1)),res_Initials,0),0)))</f>
        <v>0</v>
      </c>
      <c r="DJ75" s="42" t="n">
        <f aca="false">IF(Tasks[[#This Row],[_Res3Text]]="",0,IFERROR(MATCH(TRIM(LEFT(Tasks[[#This Row],[_Res3Text]],FIND("[",Tasks[[#This Row],[_Res3Text]]&amp;"[")-1)),res_Name,0),IFERROR(MATCH(TRIM(LEFT(Tasks[[#This Row],[_Res3Text]],FIND("[",Tasks[[#This Row],[_Res3Text]]&amp;"[")-1)),res_Initials,0),0)))</f>
        <v>0</v>
      </c>
      <c r="DK75" s="42" t="n">
        <f aca="false">IF(Tasks[[#This Row],[_Res4Text]]="",0,IFERROR(MATCH(TRIM(LEFT(Tasks[[#This Row],[_Res4Text]],FIND("[",Tasks[[#This Row],[_Res4Text]]&amp;"[")-1)),res_Name,0),IFERROR(MATCH(TRIM(LEFT(Tasks[[#This Row],[_Res4Text]],FIND("[",Tasks[[#This Row],[_Res4Text]]&amp;"[")-1)),res_Initials,0),0)))</f>
        <v>0</v>
      </c>
      <c r="DL75" s="42" t="str">
        <f aca="false">IF(Tasks[[#This Row],[_Res1Text]]="","",IF(Tasks[[#This Row],[_Res1Row]]&gt;0,INDEX(res_Name,Tasks[[#This Row],[_Res1Row]]),TRIM(LEFT(Tasks[[#This Row],[_Res1Text]],FIND("[",Tasks[[#This Row],[_Res1Text]]&amp;"[")-1))))</f>
        <v/>
      </c>
      <c r="DM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5" s="42" t="n">
        <f aca="false">IF(NOT(Tasks[[#This Row],[_IsLeaf]]=1),0,(Tasks[[#This Row],[_Resource1]]&lt;&gt;"")+(Tasks[[#This Row],[_Res2]]&lt;&gt;"")+(Tasks[[#This Row],[_Res3]]&lt;&gt;"")+(Tasks[[#This Row],[_Res4]]&lt;&gt;""))</f>
        <v>0</v>
      </c>
      <c r="DO75" s="42" t="str">
        <f aca="false">IF(Tasks[[#This Row],[_Res2Text]]="","",IF(Tasks[[#This Row],[_Res2Row]]&gt;0,INDEX(res_Name,Tasks[[#This Row],[_Res2Row]]),TRIM(LEFT(Tasks[[#This Row],[_Res2Text]],FIND("[",Tasks[[#This Row],[_Res2Text]]&amp;"[")-1))))</f>
        <v/>
      </c>
      <c r="DP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5" s="42" t="n">
        <f aca="false">IF(OR(NOT(Tasks[[#This Row],[_IsLeaf]]=1),Tasks[[#This Row],[_Res2Row]]=0),0,N(Tasks[[#This Row],[_Days]])*HoursPerDay*IF(Tasks[[#This Row],[_Res2Units]]="",DefaultUnits,Tasks[[#This Row],[_Res2Units]]))</f>
        <v>0</v>
      </c>
      <c r="DR75" s="42" t="n">
        <f aca="false">IF(AND(AND(Tasks[[#This Row],[_IsLeaf]]=1,Tasks[[#This Row],[_LeafTotalWork]]&gt;0),Tasks[[#This Row],[_Res2Work]]&gt;0),Tasks[[#This Row],[_Res2Work]]/(Tasks[[#This Row],[_FinishWorkday]]-Tasks[[#This Row],[_StartWorkday]]+1),0)</f>
        <v>0</v>
      </c>
      <c r="DS75" s="42" t="n">
        <f aca="false">Tasks[[#This Row],[_Res2WorkPerWD]]*MAX(0,Tasks[[#This Row],[_StartWorkday]]-1)</f>
        <v>0</v>
      </c>
      <c r="DT75" s="42" t="n">
        <f aca="false">Tasks[[#This Row],[_Res2Work]]*Tasks[[#This Row],[_LeafProgress]]</f>
        <v>0</v>
      </c>
      <c r="DU75" s="42" t="str">
        <f aca="false">IF(Tasks[[#This Row],[_Res3Text]]="","",IF(Tasks[[#This Row],[_Res3Row]]&gt;0,INDEX(res_Name,Tasks[[#This Row],[_Res3Row]]),TRIM(LEFT(Tasks[[#This Row],[_Res3Text]],FIND("[",Tasks[[#This Row],[_Res3Text]]&amp;"[")-1))))</f>
        <v/>
      </c>
      <c r="DV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5" s="42" t="n">
        <f aca="false">IF(OR(NOT(Tasks[[#This Row],[_IsLeaf]]=1),Tasks[[#This Row],[_Res3Row]]=0),0,N(Tasks[[#This Row],[_Days]])*HoursPerDay*IF(Tasks[[#This Row],[_Res3Units]]="",DefaultUnits,Tasks[[#This Row],[_Res3Units]]))</f>
        <v>0</v>
      </c>
      <c r="DX75" s="42" t="n">
        <f aca="false">IF(AND(AND(Tasks[[#This Row],[_IsLeaf]]=1,Tasks[[#This Row],[_LeafTotalWork]]&gt;0),Tasks[[#This Row],[_Res3Work]]&gt;0),Tasks[[#This Row],[_Res3Work]]/(Tasks[[#This Row],[_FinishWorkday]]-Tasks[[#This Row],[_StartWorkday]]+1),0)</f>
        <v>0</v>
      </c>
      <c r="DY75" s="42" t="n">
        <f aca="false">Tasks[[#This Row],[_Res3WorkPerWD]]*MAX(0,Tasks[[#This Row],[_StartWorkday]]-1)</f>
        <v>0</v>
      </c>
      <c r="DZ75" s="42" t="n">
        <f aca="false">Tasks[[#This Row],[_Res3Work]]*Tasks[[#This Row],[_LeafProgress]]</f>
        <v>0</v>
      </c>
      <c r="EA75" s="42" t="str">
        <f aca="false">IF(Tasks[[#This Row],[_Res4Text]]="","",IF(Tasks[[#This Row],[_Res4Row]]&gt;0,INDEX(res_Name,Tasks[[#This Row],[_Res4Row]]),TRIM(LEFT(Tasks[[#This Row],[_Res4Text]],FIND("[",Tasks[[#This Row],[_Res4Text]]&amp;"[")-1))))</f>
        <v/>
      </c>
      <c r="EB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5" s="42" t="n">
        <f aca="false">IF(OR(NOT(Tasks[[#This Row],[_IsLeaf]]=1),Tasks[[#This Row],[_Res4Row]]=0),0,N(Tasks[[#This Row],[_Days]])*HoursPerDay*IF(Tasks[[#This Row],[_Res4Units]]="",DefaultUnits,Tasks[[#This Row],[_Res4Units]]))</f>
        <v>0</v>
      </c>
      <c r="ED75" s="42" t="n">
        <f aca="false">IF(AND(AND(Tasks[[#This Row],[_IsLeaf]]=1,Tasks[[#This Row],[_LeafTotalWork]]&gt;0),Tasks[[#This Row],[_Res4Work]]&gt;0),Tasks[[#This Row],[_Res4Work]]/(Tasks[[#This Row],[_FinishWorkday]]-Tasks[[#This Row],[_StartWorkday]]+1),0)</f>
        <v>0</v>
      </c>
      <c r="EE75" s="42" t="n">
        <f aca="false">Tasks[[#This Row],[_Res4WorkPerWD]]*MAX(0,Tasks[[#This Row],[_StartWorkday]]-1)</f>
        <v>0</v>
      </c>
      <c r="EF75" s="42" t="n">
        <f aca="false">Tasks[[#This Row],[_Res4Work]]*Tasks[[#This Row],[_LeafProgress]]</f>
        <v>0</v>
      </c>
      <c r="EG75" s="42" t="n">
        <f aca="false">IF(ISNUMBER(Tasks[[#This Row],[% Complete]]),Tasks[[#This Row],[% Complete]],IF(Tasks[[#This Row],[Stage]]="",0,IFERROR(INDEX(stg_Pct,MATCH(Tasks[[#This Row],[Stage]],stg_Name,0)),0)))</f>
        <v>0</v>
      </c>
      <c r="EH75" s="42" t="n">
        <f aca="false">IF(NOT(Tasks[[#This Row],[_IsLeaf]]=1),0,IF(N(Tasks[[#This Row],[Actual Finish]])&gt;0,1,MIN(1,Tasks[[#This Row],[_Pct]])))</f>
        <v>0</v>
      </c>
      <c r="EI75" s="42" t="n">
        <f aca="false">IF(OR(NOT(Tasks[[#This Row],[_IsLeaf]]=1),Tasks[[#This Row],[_Res1Row]]=0),0,N(Tasks[[#This Row],[_Days]])*HoursPerDay*IF(Tasks[[#This Row],[_Units1]]="",DefaultUnits,Tasks[[#This Row],[_Units1]]))</f>
        <v>0</v>
      </c>
      <c r="EJ75" s="42" t="n">
        <f aca="false">Tasks[[#This Row],[_LeafWork]]+Tasks[[#This Row],[_Res2Work]]+Tasks[[#This Row],[_Res3Work]]+Tasks[[#This Row],[_Res4Work]]</f>
        <v>0</v>
      </c>
      <c r="EK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5" s="42" t="n">
        <f aca="false">IF(NOT(Tasks[[#This Row],[_IsLeaf]]=1),0,MAX(_xlfn.MAXIFS(Tasks[_Row],Tasks[_Pred1UID],Tasks[[#This Row],[UID]]),_xlfn.MAXIFS(Tasks[_Row],Tasks[_Pred2UID],Tasks[[#This Row],[UID]]),_xlfn.MAXIFS(Tasks[_Row],Tasks[_Pred3UID],Tasks[[#This Row],[UID]]),_xlfn.MAXIFS(Tasks[_Row],Tasks[_Pred4UID],Tasks[[#This Row],[UID]])))</f>
        <v>0</v>
      </c>
      <c r="ET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5" s="89" t="str">
        <f aca="false">IF(NOT(Tasks[[#This Row],[_IsLeaf]]=1),"",IF(N(Tasks[[#This Row],[_Days]])&lt;=0,Tasks[[#This Row],[_LeafLateFinish]],WORKDAY.INTL(Tasks[[#This Row],[_LeafLateFinish]],-(Tasks[[#This Row],[_Days]]-1),WorkWeek,Holidays)))</f>
        <v/>
      </c>
      <c r="EW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5" s="88" t="b">
        <f aca="false">AND(Tasks[[#This Row],[_IsLeaf]]=1,Tasks[[#This Row],[_LeafProgress]]&lt;1,N(Tasks[[#This Row],[_LeafTotalSlack]])&lt;=CriticalSlackDays)</f>
        <v>0</v>
      </c>
      <c r="EY75" s="42" t="n">
        <f aca="false">IF(AND(Tasks[[#This Row],[_IsLeaf]]=1,Tasks[[#This Row],[_ConstraintCode]]=1,Tasks[[#This Row],[Mode]]&lt;&gt;"Manual",N(Tasks[[#This Row],[Actual Start]])=0),MAX(0,N(Tasks[[#This Row],[Free Slack]])),0)</f>
        <v>0</v>
      </c>
      <c r="EZ75" s="89" t="str">
        <f aca="false">IF(NOT(Tasks[[#This Row],[_IsLeaf]]=1),"",IF(Tasks[[#This Row],[_AlapShift]]=0,Tasks[[#This Row],[_LeafCalcStart]],WORKDAY.INTL(Tasks[[#This Row],[_LeafCalcStart]],Tasks[[#This Row],[_AlapShift]],WorkWeek,Holidays)))</f>
        <v/>
      </c>
      <c r="FA75" s="89" t="str">
        <f aca="false">IF(NOT(Tasks[[#This Row],[_IsLeaf]]=1),"",IF(Tasks[[#This Row],[_AlapShift]]=0,Tasks[[#This Row],[_LeafCalcFinish]],WORKDAY.INTL(Tasks[[#This Row],[_LeafCalcFinish]],Tasks[[#This Row],[_AlapShift]],WorkWeek,Holidays)))</f>
        <v/>
      </c>
      <c r="FB75" s="89" t="str">
        <f aca="false">IF(NOT(Tasks[[#This Row],[_IsLeaf]]=1),"",IF(Tasks[[#This Row],[_AlapShift]]=0,Tasks[[#This Row],[_LeafFcstStart]],WORKDAY.INTL(Tasks[[#This Row],[_LeafFcstStart]],Tasks[[#This Row],[_AlapShift]],WorkWeek,Holidays)))</f>
        <v/>
      </c>
      <c r="FC75" s="89" t="str">
        <f aca="false">IF(NOT(Tasks[[#This Row],[_IsLeaf]]=1),"",IF(Tasks[[#This Row],[_AlapShift]]=0,Tasks[[#This Row],[_LeafFcstFinish]],WORKDAY.INTL(Tasks[[#This Row],[_LeafFcstFinish]],Tasks[[#This Row],[_AlapShift]],WorkWeek,Holidays)))</f>
        <v/>
      </c>
      <c r="FD75" s="89" t="str">
        <f aca="false">IF(Tasks[[#This Row],[Task Name]]="","",IF(Tasks[[#This Row],[_IsSummary]],MIN(INDEX(Tasks[_ShownCalcStart],Tasks[[#This Row],[_Row]]+1):INDEX(Tasks[_ShownCalcStart],Tasks[[#This Row],[_Row]]+Tasks[[#This Row],[_Descendants]])),Tasks[[#This Row],[_ShownCalcStart]]))</f>
        <v/>
      </c>
      <c r="FE75" s="89" t="str">
        <f aca="false">IF(Tasks[[#This Row],[Task Name]]="","",IF(Tasks[[#This Row],[_IsSummary]],MAX(INDEX(Tasks[_ShownCalcFinish],Tasks[[#This Row],[_Row]]+1):INDEX(Tasks[_ShownCalcFinish],Tasks[[#This Row],[_Row]]+Tasks[[#This Row],[_Descendants]])),Tasks[[#This Row],[_ShownCalcFinish]]))</f>
        <v/>
      </c>
      <c r="FF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5" s="42" t="n">
        <f aca="false">IF(AND(Tasks[[#This Row],[_IsLeaf]]=1,Tasks[[#This Row],[_LeafTotalWork]]&gt;0),NETWORKDAYS.INTL(ProjectStart,Tasks[[#This Row],[_ShownFcstStart]],WorkWeek,Holidays),0)</f>
        <v>0</v>
      </c>
      <c r="FS75" s="42" t="n">
        <f aca="false">IF(AND(Tasks[[#This Row],[_IsLeaf]]=1,Tasks[[#This Row],[_LeafTotalWork]]&gt;0),MAX(Tasks[[#This Row],[_StartWorkday]],NETWORKDAYS.INTL(ProjectStart,Tasks[[#This Row],[_ShownFcstFinish]],WorkWeek,Holidays)),0)</f>
        <v>0</v>
      </c>
      <c r="FT75" s="42" t="n">
        <f aca="false">IF(AND(Tasks[[#This Row],[_IsLeaf]]=1,Tasks[[#This Row],[_LeafTotalWork]]&gt;0),Tasks[[#This Row],[_LeafWork]]/(Tasks[[#This Row],[_FinishWorkday]]-Tasks[[#This Row],[_StartWorkday]]+1),0)</f>
        <v>0</v>
      </c>
      <c r="FU75" s="42" t="n">
        <f aca="false">Tasks[[#This Row],[_WorkPerWorkday]]*(Tasks[[#This Row],[_StartWorkday]]-1)</f>
        <v>-0</v>
      </c>
      <c r="FV75" s="42" t="n">
        <f aca="false">IF(Tasks[[#This Row],[_IsLeaf]]=1,MAX(N(Tasks[[#This Row],[_Days]]),0.1),0)</f>
        <v>0</v>
      </c>
      <c r="FW75" s="42" t="n">
        <f aca="false">Tasks[[#This Row],[_WeightDur]]*Tasks[[#This Row],[_LeafProgress]]</f>
        <v>0</v>
      </c>
      <c r="FX75" s="42" t="n">
        <f aca="false">Tasks[[#This Row],[_WeightDur]]*Tasks[[#This Row],[_PlannedPct]]</f>
        <v>0</v>
      </c>
      <c r="FY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5" s="42" t="str">
        <f aca="false">IF(AND(Tasks[[#This Row],[_IsLeaf]]=1,N(Tasks[[#This Row],[_Days]])=0,Tasks[[#This Row],[_LeafProgress]]&lt;1),Tasks[[#This Row],[_ShownFcstFinish]]+Tasks[[#This Row],[_Row]]/100000,"")</f>
        <v/>
      </c>
      <c r="GA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5" s="42" t="str">
        <f aca="false">IF(Tasks[[#This Row],[Task Name]]="","",LEFT(Tasks[[#This Row],[WBS]],FIND(".",Tasks[[#This Row],[WBS]]&amp;".")-1))</f>
        <v/>
      </c>
      <c r="GC75" s="42" t="str">
        <f aca="false">IF(AND(Tasks[[#This Row],[Task Name]]&lt;&gt;"",Tasks[[#This Row],[_Level]]=1),Tasks[[#This Row],[_Row]],"")</f>
        <v/>
      </c>
      <c r="GD75" s="42" t="str">
        <f aca="false">IF(AND(Tasks[[#This Row],[_IsLeaf]]=1,N(Tasks[[#This Row],[_Days]])=0),Tasks[[#This Row],[Planned Finish]]+Tasks[[#This Row],[_Row]]/100000,"")</f>
        <v/>
      </c>
      <c r="GE75" s="42" t="str">
        <f aca="false">IF(AND(Tasks[[#This Row],[_IsLeaf]]=1,Tasks[[#This Row],[_LeafProgress]]&lt;1,OR(N(Tasks[[#This Row],[Finish Var]])&gt;0,Tasks[[#This Row],[Status]]="Late Start")),MAX(0,Tasks[[#This Row],[Finish Var]])+1-Tasks[[#This Row],[_Row]]/1000000,"")</f>
        <v/>
      </c>
      <c r="GF75" s="42" t="str">
        <f aca="false">IF(AND(Tasks[[#This Row],[_IsLeaf]]=1,N(Tasks[[#This Row],[Actual Start]])=0,Tasks[[#This Row],[_ShownFcstStart]]&gt;=StatusDate,Tasks[[#This Row],[_ShownFcstStart]]&lt;=LookaheadEnd),Tasks[[#This Row],[_ShownFcstStart]]+Tasks[[#This Row],[_Row]]/100000,"")</f>
        <v/>
      </c>
      <c r="GG75" s="42" t="str">
        <f aca="false">IF(AND(Tasks[[#This Row],[_IsLeaf]]=1,Tasks[[#This Row],[_LeafProgress]]&lt;1,Tasks[[#This Row],[_ShownFcstFinish]]&gt;=StatusDate,Tasks[[#This Row],[_ShownFcstFinish]]&lt;=LookaheadEnd),Tasks[[#This Row],[_ShownFcstFinish]]+Tasks[[#This Row],[_Row]]/100000,"")</f>
        <v/>
      </c>
      <c r="GH75" s="42" t="str">
        <f aca="false">IF(Tasks[[#This Row],[_LeafCritical]],Tasks[[#This Row],[_ShownFcstStart]]+Tasks[[#This Row],[_Row]]/100000,"")</f>
        <v/>
      </c>
      <c r="GI75" s="42" t="n">
        <f aca="false">Tasks[[#This Row],[_LeafWork]]*Tasks[[#This Row],[_LeafProgress]]</f>
        <v>0</v>
      </c>
      <c r="GJ75" s="89" t="str">
        <f aca="false">IF(AND(Tasks[[#This Row],[_IsLeaf]]=1,Tasks[[#This Row],[_LeafProgress]]&gt;=1),IF(N(Tasks[[#This Row],[Actual Finish]])&gt;0,Tasks[[#This Row],[Actual Finish]],Tasks[[#This Row],[_ShownFcstFinish]]),"")</f>
        <v/>
      </c>
      <c r="GK75" s="42" t="n">
        <f aca="false">IF(Tasks[[#This Row],[_IsLeaf]]=1,N(Tasks[[#This Row],[Story Points]]),0)</f>
        <v>0</v>
      </c>
      <c r="GL75" s="42" t="str">
        <f aca="false">""</f>
        <v/>
      </c>
      <c r="GM75" s="88" t="b">
        <f aca="false">IF(Tasks[[#This Row],[Task Name]]="",FALSE(),AND(Tasks[[#This Row],[_IsLeaf]]=1,N(Tasks[[#This Row],[_Days]])=0))</f>
        <v>0</v>
      </c>
      <c r="GN75" s="89" t="n">
        <f aca="false">IF(Tasks[[#This Row],[Task Name]]="",0,IF(AND(Tasks[[#This Row],[_IsLeaf]]=1,NOT(Tasks[[#This Row],[_IsMilestone]]),N(Tasks[[#This Row],[Progress]])&gt;0),Tasks[[#This Row],[Start]],0))</f>
        <v>0</v>
      </c>
      <c r="GO75" s="89" t="n">
        <f aca="false">IF(Tasks[[#This Row],[_DoneFrom]]=0,0,IF(Tasks[[#This Row],[Progress]]&gt;=1,Tasks[[#This Row],[Finish]],MAX(Tasks[[#This Row],[_DoneFrom]],Tasks[[#This Row],[Start]]+ROUND((Tasks[[#This Row],[Finish]]-Tasks[[#This Row],[Start]]+1)*Tasks[[#This Row],[Progress]],0)-1)))</f>
        <v>0</v>
      </c>
      <c r="GP75" s="89" t="n">
        <f aca="false">IF(Tasks[[#This Row],[Task Name]]="",0,IF(OR(NOT(Tasks[[#This Row],[_IsLeaf]]=1),Tasks[[#This Row],[_IsMilestone]],N(Tasks[[#This Row],[Progress]])&gt;=1),0,IF(Tasks[[#This Row],[_DoneTo]]&gt;0,Tasks[[#This Row],[_DoneTo]]+1,Tasks[[#This Row],[Start]])))</f>
        <v>0</v>
      </c>
      <c r="GQ75" s="89" t="n">
        <f aca="false">IF(Tasks[[#This Row],[_RemFrom]]=0,0,Tasks[[#This Row],[Finish]])</f>
        <v>0</v>
      </c>
      <c r="GR75" s="88" t="b">
        <f aca="false">IF(Tasks[[#This Row],[Task Name]]="",FALSE(),OR(NOT(BaselineSet),N(Tasks[[#This Row],[Baseline Start]])&gt;0))</f>
        <v>0</v>
      </c>
      <c r="GS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5" s="90" t="str">
        <f aca="false">IF(Tasks[[#This Row],[_IsLeaf]]=1,Tasks[[#This Row],[_Row]],"")</f>
        <v/>
      </c>
      <c r="GW75" s="90" t="str">
        <f aca="false">IFERROR(INDEX(Tasks[UID],SMALL(Tasks[_PickKey],Tasks[[#This Row],[_Row]]))&amp;" "&amp;INDEX(Tasks[Task Name],SMALL(Tasks[_PickKey],Tasks[[#This Row],[_Row]])),"")</f>
        <v/>
      </c>
      <c r="GX75" s="42" t="str">
        <f aca="false">IF(Tasks[[#This Row],[Task Name]]="","",IF(Tasks[[#This Row],[_IsSummary]],NETWORKDAYS.INTL(Tasks[[#This Row],[Start]],Tasks[[#This Row],[Finish]],WorkWeek,Holidays),N(Tasks[[#This Row],[_Days]])))</f>
        <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3"/>
      <c r="U76" s="23"/>
      <c r="V76" s="83"/>
      <c r="W76" s="23"/>
      <c r="X76" s="83"/>
      <c r="Y76" s="23"/>
      <c r="Z76" s="83"/>
      <c r="AA76" s="23"/>
      <c r="AB76" s="23"/>
      <c r="AC76" s="7"/>
      <c r="AD76" s="7"/>
      <c r="AE76" s="62" t="str">
        <f aca="false">IF(Tasks[[#This Row],[Task Name]]="","",IF(Tasks[[#This Row],[_IsSummary]],MIN(INDEX(Tasks[_ShownFcstStart],Tasks[[#This Row],[_Row]]+1):INDEX(Tasks[_ShownFcstStart],Tasks[[#This Row],[_Row]]+Tasks[[#This Row],[_Descendants]])),Tasks[[#This Row],[_ShownFcstStart]]))</f>
        <v/>
      </c>
      <c r="AF76" s="62"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6" s="7"/>
      <c r="AK76" s="22"/>
      <c r="AL76" s="23"/>
      <c r="AM76" s="7"/>
      <c r="AN76" s="46"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2" t="str">
        <f aca="false">IF(Tasks[[#This Row],[Task Name]]="","",IF(N(Tasks[[#This Row],[Baseline Start]])&gt;0,Tasks[[#This Row],[Baseline Start]],Tasks[[#This Row],[_CalcStart]]))</f>
        <v/>
      </c>
      <c r="AR76" s="62" t="str">
        <f aca="false">IF(Tasks[[#This Row],[Task Name]]="","",IF(N(Tasks[[#This Row],[Baseline Finish]])&gt;0,Tasks[[#This Row],[Baseline Finish]],Tasks[[#This Row],[_CalcFinish]]))</f>
        <v/>
      </c>
      <c r="AS76" s="46" t="str">
        <f aca="false">IF(Tasks[[#This Row],[Task Name]]="","",IF(Tasks[[#This Row],[Start]]&gt;=Tasks[[#This Row],[Planned Start]],NETWORKDAYS.INTL(Tasks[[#This Row],[Planned Start]],Tasks[[#This Row],[Start]],WorkWeek,Holidays)-1,1-NETWORKDAYS.INTL(Tasks[[#This Row],[Start]],Tasks[[#This Row],[Planned Start]],WorkWeek,Holidays)))</f>
        <v/>
      </c>
      <c r="AT76" s="62" t="str">
        <f aca="false">IF(Tasks[[#This Row],[Task Name]]="","",IF(Tasks[[#This Row],[_IsSummary]],MIN(INDEX(Tasks[_LeafLateStart],Tasks[[#This Row],[_Row]]+1):INDEX(Tasks[_LeafLateStart],Tasks[[#This Row],[_Row]]+Tasks[[#This Row],[_Descendants]])),Tasks[[#This Row],[_LeafLateStart]]))</f>
        <v/>
      </c>
      <c r="AU76" s="62" t="str">
        <f aca="false">IF(Tasks[[#This Row],[Task Name]]="","",IF(Tasks[[#This Row],[_IsSummary]],MAX(INDEX(Tasks[_LeafLateFinish],Tasks[[#This Row],[_Row]]+1):INDEX(Tasks[_LeafLateFinish],Tasks[[#This Row],[_Row]]+Tasks[[#This Row],[_Descendants]])),Tasks[[#This Row],[_LeafLateFinish]]))</f>
        <v/>
      </c>
      <c r="AV76" s="46"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4"/>
      <c r="BA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5"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6"/>
      <c r="BJ76" s="22"/>
      <c r="BK76" s="46" t="str">
        <f aca="false">IF(OR(Tasks[[#This Row],[Task Name]]="",Tasks[[#This Row],[Baseline Duration]]=""),"",Tasks[[#This Row],[_SpanDays]]-N(Tasks[[#This Row],[Baseline Duration]]))</f>
        <v/>
      </c>
      <c r="BL76" s="85" t="str">
        <f aca="false">IF(OR(Tasks[[#This Row],[Task Name]]="",Tasks[[#This Row],[Baseline Work]]=""),"",Tasks[[#This Row],[Work]]-N(Tasks[[#This Row],[Baseline Work]]))</f>
        <v/>
      </c>
      <c r="BM76" s="62" t="str">
        <f aca="false">IF(Tasks[[#This Row],[Task Name]]="","",IF(OR(TakeBaseline="Yes",N(Tasks[[#This Row],[Baseline Start]])=0),Tasks[[#This Row],[Start]],Tasks[[#This Row],[Baseline Start]]))</f>
        <v/>
      </c>
      <c r="BN76" s="62"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5" t="str">
        <f aca="false">IF(Tasks[[#This Row],[Task Name]]="","",IF(OR(TakeBaseline="Yes",N(Tasks[[#This Row],[Baseline Work]])=0),Tasks[[#This Row],[Work]],Tasks[[#This Row],[Baseline Work]]))</f>
        <v/>
      </c>
      <c r="BQ76" s="7"/>
      <c r="BR76" s="7"/>
      <c r="BS76" s="22"/>
      <c r="BT76" s="87"/>
      <c r="BU76" s="42" t="str">
        <f aca="false">IF(Tasks[[#This Row],[Task Name]]="","",MAX(1,N(Tasks[[#This Row],[Level]])))</f>
        <v/>
      </c>
      <c r="BV76" s="42" t="n">
        <f aca="false">ROW()-ROW(Tasks[[#Headers],[ID]])</f>
        <v>71</v>
      </c>
      <c r="BW76" s="42" t="n">
        <f aca="false">IF(OR(Tasks[[#This Row],[Task Name]]="",Tasks[[#This Row],[_Level]]&lt;=1),0,IFERROR(LOOKUP(2,1/(Tasks[[#Headers],[_Level]]:Tasks[[#This Row],[_Level]]=Tasks[[#This Row],[_Level]]-1),ROW(Tasks[[#Headers],[_Level]]:Tasks[[#This Row],[_Level]])),0))</f>
        <v>0</v>
      </c>
      <c r="BX76" s="42" t="n">
        <f aca="false">IFERROR(N(INDEX(Tasks[_Level],Tasks[[#This Row],[_Row]]+1)),0)</f>
        <v>0</v>
      </c>
      <c r="BY76" s="88" t="b">
        <f aca="false">AND(Tasks[[#This Row],[Task Name]]&lt;&gt;"",Tasks[[#This Row],[_NextLevel]]&gt;Tasks[[#This Row],[_Level]])</f>
        <v>0</v>
      </c>
      <c r="BZ76" s="42" t="n">
        <f aca="false">IF(Tasks[[#This Row],[_IsSummary]],COUNTIF(Tasks[WBS],Tasks[[#This Row],[WBS]]&amp;".*"),0)</f>
        <v>0</v>
      </c>
      <c r="CA76" s="42" t="n">
        <f aca="false">IF(AND(Tasks[[#This Row],[Task Name]]&lt;&gt;"",NOT(Tasks[[#This Row],[_IsSummary]])),1,0)</f>
        <v>0</v>
      </c>
      <c r="CB76" s="42" t="n">
        <f aca="false">IF(N(Tasks[[#This Row],[_Pred1UID]])=0,0,IFERROR(MATCH(Tasks[[#This Row],[_Pred1UID]],Tasks[UID],0),-1))</f>
        <v>0</v>
      </c>
      <c r="CC76" s="42" t="n">
        <f aca="false">IF(N(Tasks[[#This Row],[_Pred2UID]])=0,0,IFERROR(MATCH(Tasks[[#This Row],[_Pred2UID]],Tasks[UID],0),-1))</f>
        <v>0</v>
      </c>
      <c r="CD76" s="42" t="n">
        <f aca="false">IF(N(Tasks[[#This Row],[_Pred3UID]])=0,0,IFERROR(MATCH(Tasks[[#This Row],[_Pred3UID]],Tasks[UID],0),-1))</f>
        <v>0</v>
      </c>
      <c r="CE76" s="42" t="n">
        <f aca="false">IF(N(Tasks[[#This Row],[_Pred4UID]])=0,0,IFERROR(MATCH(Tasks[[#This Row],[_Pred4UID]],Tasks[UID],0),-1))</f>
        <v>0</v>
      </c>
      <c r="CF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6" s="89" t="n">
        <f aca="false">IF(OR(Tasks[[#This Row],[_ConstraintCode]]=2,Tasks[[#This Row],[_ConstraintCode]]=3,Tasks[[#This Row],[_ConstraintCode]]=4,Tasks[[#This Row],[_ConstraintCode]]=6),Tasks[[#This Row],[_ConstraintStart]],0)</f>
        <v>0</v>
      </c>
      <c r="CI76" s="89" t="n">
        <f aca="false">IF(OR(Tasks[[#This Row],[_ConstraintCode]]=2,Tasks[[#This Row],[_ConstraintCode]]=3,Tasks[[#This Row],[_ConstraintCode]]=5,Tasks[[#This Row],[_ConstraintCode]]=7),Tasks[[#This Row],[_ConstraintStart]],2958465)</f>
        <v>2958465</v>
      </c>
      <c r="CJ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6" s="89" t="str">
        <f aca="false">IF(NOT(Tasks[[#This Row],[_IsLeaf]]=1),"",IF(N(Tasks[[#This Row],[_Days]])&lt;=0,Tasks[[#This Row],[_LeafCalcStart]],WORKDAY.INTL(Tasks[[#This Row],[_LeafCalcStart]],Tasks[[#This Row],[_Days]]-1,WorkWeek,Holidays)))</f>
        <v/>
      </c>
      <c r="CL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6" s="42" t="str">
        <f aca="false">IF(Tasks[[#This Row],[_Predecessors]]="","",TRIM(MID(SUBSTITUTE(SUBSTITUTE(SUBSTITUTE(UPPER(Tasks[[#This Row],[_Predecessors]]),";",",")," ",""),",",REPT(" ",99)),1,99)))</f>
        <v/>
      </c>
      <c r="CO76" s="42" t="str">
        <f aca="false">IF(Tasks[[#This Row],[_Pred1Text]]="","",IFERROR(VALUE(LEFT(Tasks[[#This Row],[_Pred1Text]],MIN(FIND("F",Tasks[[#This Row],[_Pred1Text]]&amp;"F"),FIND("S",Tasks[[#This Row],[_Pred1Text]]&amp;"S"),FIND("+",Tasks[[#This Row],[_Pred1Text]]&amp;"+"),FIND("-",Tasks[[#This Row],[_Pred1Text]]&amp;"-"))-1)),""))</f>
        <v/>
      </c>
      <c r="CP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6" s="42" t="str">
        <f aca="false">IF(Tasks[[#This Row],[_Pred1Text]]="","",TRIM(MID(SUBSTITUTE(SUBSTITUTE(SUBSTITUTE(UPPER(Tasks[[#This Row],[_Predecessors]]),";",",")," ",""),",",REPT(" ",99)),100,99)))</f>
        <v/>
      </c>
      <c r="CS76" s="42" t="str">
        <f aca="false">IF(Tasks[[#This Row],[_Pred2Text]]="","",IFERROR(VALUE(LEFT(Tasks[[#This Row],[_Pred2Text]],MIN(FIND("F",Tasks[[#This Row],[_Pred2Text]]&amp;"F"),FIND("S",Tasks[[#This Row],[_Pred2Text]]&amp;"S"),FIND("+",Tasks[[#This Row],[_Pred2Text]]&amp;"+"),FIND("-",Tasks[[#This Row],[_Pred2Text]]&amp;"-"))-1)),""))</f>
        <v/>
      </c>
      <c r="CT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6" s="42" t="str">
        <f aca="false">IF(Tasks[[#This Row],[_Pred2Text]]="","",TRIM(MID(SUBSTITUTE(SUBSTITUTE(SUBSTITUTE(UPPER(Tasks[[#This Row],[_Predecessors]]),";",",")," ",""),",",REPT(" ",99)),199,99)))</f>
        <v/>
      </c>
      <c r="CW76" s="42" t="str">
        <f aca="false">IF(Tasks[[#This Row],[_Pred3Text]]="","",IFERROR(VALUE(LEFT(Tasks[[#This Row],[_Pred3Text]],MIN(FIND("F",Tasks[[#This Row],[_Pred3Text]]&amp;"F"),FIND("S",Tasks[[#This Row],[_Pred3Text]]&amp;"S"),FIND("+",Tasks[[#This Row],[_Pred3Text]]&amp;"+"),FIND("-",Tasks[[#This Row],[_Pred3Text]]&amp;"-"))-1)),""))</f>
        <v/>
      </c>
      <c r="CX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6" s="42" t="str">
        <f aca="false">IF(Tasks[[#This Row],[_Pred3Text]]="","",TRIM(MID(SUBSTITUTE(SUBSTITUTE(SUBSTITUTE(UPPER(Tasks[[#This Row],[_Predecessors]]),";",",")," ",""),",",REPT(" ",99)),298,99)))</f>
        <v/>
      </c>
      <c r="DA76" s="42" t="str">
        <f aca="false">IF(Tasks[[#This Row],[_Pred4Text]]="","",IFERROR(VALUE(LEFT(Tasks[[#This Row],[_Pred4Text]],MIN(FIND("F",Tasks[[#This Row],[_Pred4Text]]&amp;"F"),FIND("S",Tasks[[#This Row],[_Pred4Text]]&amp;"S"),FIND("+",Tasks[[#This Row],[_Pred4Text]]&amp;"+"),FIND("-",Tasks[[#This Row],[_Pred4Text]]&amp;"-"))-1)),""))</f>
        <v/>
      </c>
      <c r="DB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6" s="42" t="str">
        <f aca="false">IF(OR(Tasks[[#This Row],[Task Name]]="",Tasks[[#This Row],[_Resources]]=""),"",TRIM(MID(SUBSTITUTE(Tasks[[#This Row],[_Resources]],",",REPT(" ",99)),1,99)))</f>
        <v/>
      </c>
      <c r="DE76" s="42" t="str">
        <f aca="false">IF(Tasks[[#This Row],[_Res1Text]]="","",TRIM(MID(SUBSTITUTE(Tasks[[#This Row],[_Resources]],",",REPT(" ",99)),100,99)))</f>
        <v/>
      </c>
      <c r="DF76" s="42" t="str">
        <f aca="false">IF(Tasks[[#This Row],[_Res2Text]]="","",TRIM(MID(SUBSTITUTE(Tasks[[#This Row],[_Resources]],",",REPT(" ",99)),199,99)))</f>
        <v/>
      </c>
      <c r="DG76" s="42" t="str">
        <f aca="false">IF(Tasks[[#This Row],[_Res3Text]]="","",TRIM(MID(SUBSTITUTE(Tasks[[#This Row],[_Resources]],",",REPT(" ",99)),298,99)))</f>
        <v/>
      </c>
      <c r="DH76" s="42" t="n">
        <f aca="false">IF(Tasks[[#This Row],[_Res1Text]]="",0,IFERROR(MATCH(TRIM(LEFT(Tasks[[#This Row],[_Res1Text]],FIND("[",Tasks[[#This Row],[_Res1Text]]&amp;"[")-1)),res_Name,0),IFERROR(MATCH(TRIM(LEFT(Tasks[[#This Row],[_Res1Text]],FIND("[",Tasks[[#This Row],[_Res1Text]]&amp;"[")-1)),res_Initials,0),0)))</f>
        <v>0</v>
      </c>
      <c r="DI76" s="42" t="n">
        <f aca="false">IF(Tasks[[#This Row],[_Res2Text]]="",0,IFERROR(MATCH(TRIM(LEFT(Tasks[[#This Row],[_Res2Text]],FIND("[",Tasks[[#This Row],[_Res2Text]]&amp;"[")-1)),res_Name,0),IFERROR(MATCH(TRIM(LEFT(Tasks[[#This Row],[_Res2Text]],FIND("[",Tasks[[#This Row],[_Res2Text]]&amp;"[")-1)),res_Initials,0),0)))</f>
        <v>0</v>
      </c>
      <c r="DJ76" s="42" t="n">
        <f aca="false">IF(Tasks[[#This Row],[_Res3Text]]="",0,IFERROR(MATCH(TRIM(LEFT(Tasks[[#This Row],[_Res3Text]],FIND("[",Tasks[[#This Row],[_Res3Text]]&amp;"[")-1)),res_Name,0),IFERROR(MATCH(TRIM(LEFT(Tasks[[#This Row],[_Res3Text]],FIND("[",Tasks[[#This Row],[_Res3Text]]&amp;"[")-1)),res_Initials,0),0)))</f>
        <v>0</v>
      </c>
      <c r="DK76" s="42" t="n">
        <f aca="false">IF(Tasks[[#This Row],[_Res4Text]]="",0,IFERROR(MATCH(TRIM(LEFT(Tasks[[#This Row],[_Res4Text]],FIND("[",Tasks[[#This Row],[_Res4Text]]&amp;"[")-1)),res_Name,0),IFERROR(MATCH(TRIM(LEFT(Tasks[[#This Row],[_Res4Text]],FIND("[",Tasks[[#This Row],[_Res4Text]]&amp;"[")-1)),res_Initials,0),0)))</f>
        <v>0</v>
      </c>
      <c r="DL76" s="42" t="str">
        <f aca="false">IF(Tasks[[#This Row],[_Res1Text]]="","",IF(Tasks[[#This Row],[_Res1Row]]&gt;0,INDEX(res_Name,Tasks[[#This Row],[_Res1Row]]),TRIM(LEFT(Tasks[[#This Row],[_Res1Text]],FIND("[",Tasks[[#This Row],[_Res1Text]]&amp;"[")-1))))</f>
        <v/>
      </c>
      <c r="DM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6" s="42" t="n">
        <f aca="false">IF(NOT(Tasks[[#This Row],[_IsLeaf]]=1),0,(Tasks[[#This Row],[_Resource1]]&lt;&gt;"")+(Tasks[[#This Row],[_Res2]]&lt;&gt;"")+(Tasks[[#This Row],[_Res3]]&lt;&gt;"")+(Tasks[[#This Row],[_Res4]]&lt;&gt;""))</f>
        <v>0</v>
      </c>
      <c r="DO76" s="42" t="str">
        <f aca="false">IF(Tasks[[#This Row],[_Res2Text]]="","",IF(Tasks[[#This Row],[_Res2Row]]&gt;0,INDEX(res_Name,Tasks[[#This Row],[_Res2Row]]),TRIM(LEFT(Tasks[[#This Row],[_Res2Text]],FIND("[",Tasks[[#This Row],[_Res2Text]]&amp;"[")-1))))</f>
        <v/>
      </c>
      <c r="DP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6" s="42" t="n">
        <f aca="false">IF(OR(NOT(Tasks[[#This Row],[_IsLeaf]]=1),Tasks[[#This Row],[_Res2Row]]=0),0,N(Tasks[[#This Row],[_Days]])*HoursPerDay*IF(Tasks[[#This Row],[_Res2Units]]="",DefaultUnits,Tasks[[#This Row],[_Res2Units]]))</f>
        <v>0</v>
      </c>
      <c r="DR76" s="42" t="n">
        <f aca="false">IF(AND(AND(Tasks[[#This Row],[_IsLeaf]]=1,Tasks[[#This Row],[_LeafTotalWork]]&gt;0),Tasks[[#This Row],[_Res2Work]]&gt;0),Tasks[[#This Row],[_Res2Work]]/(Tasks[[#This Row],[_FinishWorkday]]-Tasks[[#This Row],[_StartWorkday]]+1),0)</f>
        <v>0</v>
      </c>
      <c r="DS76" s="42" t="n">
        <f aca="false">Tasks[[#This Row],[_Res2WorkPerWD]]*MAX(0,Tasks[[#This Row],[_StartWorkday]]-1)</f>
        <v>0</v>
      </c>
      <c r="DT76" s="42" t="n">
        <f aca="false">Tasks[[#This Row],[_Res2Work]]*Tasks[[#This Row],[_LeafProgress]]</f>
        <v>0</v>
      </c>
      <c r="DU76" s="42" t="str">
        <f aca="false">IF(Tasks[[#This Row],[_Res3Text]]="","",IF(Tasks[[#This Row],[_Res3Row]]&gt;0,INDEX(res_Name,Tasks[[#This Row],[_Res3Row]]),TRIM(LEFT(Tasks[[#This Row],[_Res3Text]],FIND("[",Tasks[[#This Row],[_Res3Text]]&amp;"[")-1))))</f>
        <v/>
      </c>
      <c r="DV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6" s="42" t="n">
        <f aca="false">IF(OR(NOT(Tasks[[#This Row],[_IsLeaf]]=1),Tasks[[#This Row],[_Res3Row]]=0),0,N(Tasks[[#This Row],[_Days]])*HoursPerDay*IF(Tasks[[#This Row],[_Res3Units]]="",DefaultUnits,Tasks[[#This Row],[_Res3Units]]))</f>
        <v>0</v>
      </c>
      <c r="DX76" s="42" t="n">
        <f aca="false">IF(AND(AND(Tasks[[#This Row],[_IsLeaf]]=1,Tasks[[#This Row],[_LeafTotalWork]]&gt;0),Tasks[[#This Row],[_Res3Work]]&gt;0),Tasks[[#This Row],[_Res3Work]]/(Tasks[[#This Row],[_FinishWorkday]]-Tasks[[#This Row],[_StartWorkday]]+1),0)</f>
        <v>0</v>
      </c>
      <c r="DY76" s="42" t="n">
        <f aca="false">Tasks[[#This Row],[_Res3WorkPerWD]]*MAX(0,Tasks[[#This Row],[_StartWorkday]]-1)</f>
        <v>0</v>
      </c>
      <c r="DZ76" s="42" t="n">
        <f aca="false">Tasks[[#This Row],[_Res3Work]]*Tasks[[#This Row],[_LeafProgress]]</f>
        <v>0</v>
      </c>
      <c r="EA76" s="42" t="str">
        <f aca="false">IF(Tasks[[#This Row],[_Res4Text]]="","",IF(Tasks[[#This Row],[_Res4Row]]&gt;0,INDEX(res_Name,Tasks[[#This Row],[_Res4Row]]),TRIM(LEFT(Tasks[[#This Row],[_Res4Text]],FIND("[",Tasks[[#This Row],[_Res4Text]]&amp;"[")-1))))</f>
        <v/>
      </c>
      <c r="EB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6" s="42" t="n">
        <f aca="false">IF(OR(NOT(Tasks[[#This Row],[_IsLeaf]]=1),Tasks[[#This Row],[_Res4Row]]=0),0,N(Tasks[[#This Row],[_Days]])*HoursPerDay*IF(Tasks[[#This Row],[_Res4Units]]="",DefaultUnits,Tasks[[#This Row],[_Res4Units]]))</f>
        <v>0</v>
      </c>
      <c r="ED76" s="42" t="n">
        <f aca="false">IF(AND(AND(Tasks[[#This Row],[_IsLeaf]]=1,Tasks[[#This Row],[_LeafTotalWork]]&gt;0),Tasks[[#This Row],[_Res4Work]]&gt;0),Tasks[[#This Row],[_Res4Work]]/(Tasks[[#This Row],[_FinishWorkday]]-Tasks[[#This Row],[_StartWorkday]]+1),0)</f>
        <v>0</v>
      </c>
      <c r="EE76" s="42" t="n">
        <f aca="false">Tasks[[#This Row],[_Res4WorkPerWD]]*MAX(0,Tasks[[#This Row],[_StartWorkday]]-1)</f>
        <v>0</v>
      </c>
      <c r="EF76" s="42" t="n">
        <f aca="false">Tasks[[#This Row],[_Res4Work]]*Tasks[[#This Row],[_LeafProgress]]</f>
        <v>0</v>
      </c>
      <c r="EG76" s="42" t="n">
        <f aca="false">IF(ISNUMBER(Tasks[[#This Row],[% Complete]]),Tasks[[#This Row],[% Complete]],IF(Tasks[[#This Row],[Stage]]="",0,IFERROR(INDEX(stg_Pct,MATCH(Tasks[[#This Row],[Stage]],stg_Name,0)),0)))</f>
        <v>0</v>
      </c>
      <c r="EH76" s="42" t="n">
        <f aca="false">IF(NOT(Tasks[[#This Row],[_IsLeaf]]=1),0,IF(N(Tasks[[#This Row],[Actual Finish]])&gt;0,1,MIN(1,Tasks[[#This Row],[_Pct]])))</f>
        <v>0</v>
      </c>
      <c r="EI76" s="42" t="n">
        <f aca="false">IF(OR(NOT(Tasks[[#This Row],[_IsLeaf]]=1),Tasks[[#This Row],[_Res1Row]]=0),0,N(Tasks[[#This Row],[_Days]])*HoursPerDay*IF(Tasks[[#This Row],[_Units1]]="",DefaultUnits,Tasks[[#This Row],[_Units1]]))</f>
        <v>0</v>
      </c>
      <c r="EJ76" s="42" t="n">
        <f aca="false">Tasks[[#This Row],[_LeafWork]]+Tasks[[#This Row],[_Res2Work]]+Tasks[[#This Row],[_Res3Work]]+Tasks[[#This Row],[_Res4Work]]</f>
        <v>0</v>
      </c>
      <c r="EK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6" s="42" t="n">
        <f aca="false">IF(NOT(Tasks[[#This Row],[_IsLeaf]]=1),0,MAX(_xlfn.MAXIFS(Tasks[_Row],Tasks[_Pred1UID],Tasks[[#This Row],[UID]]),_xlfn.MAXIFS(Tasks[_Row],Tasks[_Pred2UID],Tasks[[#This Row],[UID]]),_xlfn.MAXIFS(Tasks[_Row],Tasks[_Pred3UID],Tasks[[#This Row],[UID]]),_xlfn.MAXIFS(Tasks[_Row],Tasks[_Pred4UID],Tasks[[#This Row],[UID]])))</f>
        <v>0</v>
      </c>
      <c r="ET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6" s="89" t="str">
        <f aca="false">IF(NOT(Tasks[[#This Row],[_IsLeaf]]=1),"",IF(N(Tasks[[#This Row],[_Days]])&lt;=0,Tasks[[#This Row],[_LeafLateFinish]],WORKDAY.INTL(Tasks[[#This Row],[_LeafLateFinish]],-(Tasks[[#This Row],[_Days]]-1),WorkWeek,Holidays)))</f>
        <v/>
      </c>
      <c r="EW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6" s="88" t="b">
        <f aca="false">AND(Tasks[[#This Row],[_IsLeaf]]=1,Tasks[[#This Row],[_LeafProgress]]&lt;1,N(Tasks[[#This Row],[_LeafTotalSlack]])&lt;=CriticalSlackDays)</f>
        <v>0</v>
      </c>
      <c r="EY76" s="42" t="n">
        <f aca="false">IF(AND(Tasks[[#This Row],[_IsLeaf]]=1,Tasks[[#This Row],[_ConstraintCode]]=1,Tasks[[#This Row],[Mode]]&lt;&gt;"Manual",N(Tasks[[#This Row],[Actual Start]])=0),MAX(0,N(Tasks[[#This Row],[Free Slack]])),0)</f>
        <v>0</v>
      </c>
      <c r="EZ76" s="89" t="str">
        <f aca="false">IF(NOT(Tasks[[#This Row],[_IsLeaf]]=1),"",IF(Tasks[[#This Row],[_AlapShift]]=0,Tasks[[#This Row],[_LeafCalcStart]],WORKDAY.INTL(Tasks[[#This Row],[_LeafCalcStart]],Tasks[[#This Row],[_AlapShift]],WorkWeek,Holidays)))</f>
        <v/>
      </c>
      <c r="FA76" s="89" t="str">
        <f aca="false">IF(NOT(Tasks[[#This Row],[_IsLeaf]]=1),"",IF(Tasks[[#This Row],[_AlapShift]]=0,Tasks[[#This Row],[_LeafCalcFinish]],WORKDAY.INTL(Tasks[[#This Row],[_LeafCalcFinish]],Tasks[[#This Row],[_AlapShift]],WorkWeek,Holidays)))</f>
        <v/>
      </c>
      <c r="FB76" s="89" t="str">
        <f aca="false">IF(NOT(Tasks[[#This Row],[_IsLeaf]]=1),"",IF(Tasks[[#This Row],[_AlapShift]]=0,Tasks[[#This Row],[_LeafFcstStart]],WORKDAY.INTL(Tasks[[#This Row],[_LeafFcstStart]],Tasks[[#This Row],[_AlapShift]],WorkWeek,Holidays)))</f>
        <v/>
      </c>
      <c r="FC76" s="89" t="str">
        <f aca="false">IF(NOT(Tasks[[#This Row],[_IsLeaf]]=1),"",IF(Tasks[[#This Row],[_AlapShift]]=0,Tasks[[#This Row],[_LeafFcstFinish]],WORKDAY.INTL(Tasks[[#This Row],[_LeafFcstFinish]],Tasks[[#This Row],[_AlapShift]],WorkWeek,Holidays)))</f>
        <v/>
      </c>
      <c r="FD76" s="89" t="str">
        <f aca="false">IF(Tasks[[#This Row],[Task Name]]="","",IF(Tasks[[#This Row],[_IsSummary]],MIN(INDEX(Tasks[_ShownCalcStart],Tasks[[#This Row],[_Row]]+1):INDEX(Tasks[_ShownCalcStart],Tasks[[#This Row],[_Row]]+Tasks[[#This Row],[_Descendants]])),Tasks[[#This Row],[_ShownCalcStart]]))</f>
        <v/>
      </c>
      <c r="FE76" s="89" t="str">
        <f aca="false">IF(Tasks[[#This Row],[Task Name]]="","",IF(Tasks[[#This Row],[_IsSummary]],MAX(INDEX(Tasks[_ShownCalcFinish],Tasks[[#This Row],[_Row]]+1):INDEX(Tasks[_ShownCalcFinish],Tasks[[#This Row],[_Row]]+Tasks[[#This Row],[_Descendants]])),Tasks[[#This Row],[_ShownCalcFinish]]))</f>
        <v/>
      </c>
      <c r="FF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6" s="42" t="n">
        <f aca="false">IF(AND(Tasks[[#This Row],[_IsLeaf]]=1,Tasks[[#This Row],[_LeafTotalWork]]&gt;0),NETWORKDAYS.INTL(ProjectStart,Tasks[[#This Row],[_ShownFcstStart]],WorkWeek,Holidays),0)</f>
        <v>0</v>
      </c>
      <c r="FS76" s="42" t="n">
        <f aca="false">IF(AND(Tasks[[#This Row],[_IsLeaf]]=1,Tasks[[#This Row],[_LeafTotalWork]]&gt;0),MAX(Tasks[[#This Row],[_StartWorkday]],NETWORKDAYS.INTL(ProjectStart,Tasks[[#This Row],[_ShownFcstFinish]],WorkWeek,Holidays)),0)</f>
        <v>0</v>
      </c>
      <c r="FT76" s="42" t="n">
        <f aca="false">IF(AND(Tasks[[#This Row],[_IsLeaf]]=1,Tasks[[#This Row],[_LeafTotalWork]]&gt;0),Tasks[[#This Row],[_LeafWork]]/(Tasks[[#This Row],[_FinishWorkday]]-Tasks[[#This Row],[_StartWorkday]]+1),0)</f>
        <v>0</v>
      </c>
      <c r="FU76" s="42" t="n">
        <f aca="false">Tasks[[#This Row],[_WorkPerWorkday]]*(Tasks[[#This Row],[_StartWorkday]]-1)</f>
        <v>-0</v>
      </c>
      <c r="FV76" s="42" t="n">
        <f aca="false">IF(Tasks[[#This Row],[_IsLeaf]]=1,MAX(N(Tasks[[#This Row],[_Days]]),0.1),0)</f>
        <v>0</v>
      </c>
      <c r="FW76" s="42" t="n">
        <f aca="false">Tasks[[#This Row],[_WeightDur]]*Tasks[[#This Row],[_LeafProgress]]</f>
        <v>0</v>
      </c>
      <c r="FX76" s="42" t="n">
        <f aca="false">Tasks[[#This Row],[_WeightDur]]*Tasks[[#This Row],[_PlannedPct]]</f>
        <v>0</v>
      </c>
      <c r="FY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6" s="42" t="str">
        <f aca="false">IF(AND(Tasks[[#This Row],[_IsLeaf]]=1,N(Tasks[[#This Row],[_Days]])=0,Tasks[[#This Row],[_LeafProgress]]&lt;1),Tasks[[#This Row],[_ShownFcstFinish]]+Tasks[[#This Row],[_Row]]/100000,"")</f>
        <v/>
      </c>
      <c r="GA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6" s="42" t="str">
        <f aca="false">IF(Tasks[[#This Row],[Task Name]]="","",LEFT(Tasks[[#This Row],[WBS]],FIND(".",Tasks[[#This Row],[WBS]]&amp;".")-1))</f>
        <v/>
      </c>
      <c r="GC76" s="42" t="str">
        <f aca="false">IF(AND(Tasks[[#This Row],[Task Name]]&lt;&gt;"",Tasks[[#This Row],[_Level]]=1),Tasks[[#This Row],[_Row]],"")</f>
        <v/>
      </c>
      <c r="GD76" s="42" t="str">
        <f aca="false">IF(AND(Tasks[[#This Row],[_IsLeaf]]=1,N(Tasks[[#This Row],[_Days]])=0),Tasks[[#This Row],[Planned Finish]]+Tasks[[#This Row],[_Row]]/100000,"")</f>
        <v/>
      </c>
      <c r="GE76" s="42" t="str">
        <f aca="false">IF(AND(Tasks[[#This Row],[_IsLeaf]]=1,Tasks[[#This Row],[_LeafProgress]]&lt;1,OR(N(Tasks[[#This Row],[Finish Var]])&gt;0,Tasks[[#This Row],[Status]]="Late Start")),MAX(0,Tasks[[#This Row],[Finish Var]])+1-Tasks[[#This Row],[_Row]]/1000000,"")</f>
        <v/>
      </c>
      <c r="GF76" s="42" t="str">
        <f aca="false">IF(AND(Tasks[[#This Row],[_IsLeaf]]=1,N(Tasks[[#This Row],[Actual Start]])=0,Tasks[[#This Row],[_ShownFcstStart]]&gt;=StatusDate,Tasks[[#This Row],[_ShownFcstStart]]&lt;=LookaheadEnd),Tasks[[#This Row],[_ShownFcstStart]]+Tasks[[#This Row],[_Row]]/100000,"")</f>
        <v/>
      </c>
      <c r="GG76" s="42" t="str">
        <f aca="false">IF(AND(Tasks[[#This Row],[_IsLeaf]]=1,Tasks[[#This Row],[_LeafProgress]]&lt;1,Tasks[[#This Row],[_ShownFcstFinish]]&gt;=StatusDate,Tasks[[#This Row],[_ShownFcstFinish]]&lt;=LookaheadEnd),Tasks[[#This Row],[_ShownFcstFinish]]+Tasks[[#This Row],[_Row]]/100000,"")</f>
        <v/>
      </c>
      <c r="GH76" s="42" t="str">
        <f aca="false">IF(Tasks[[#This Row],[_LeafCritical]],Tasks[[#This Row],[_ShownFcstStart]]+Tasks[[#This Row],[_Row]]/100000,"")</f>
        <v/>
      </c>
      <c r="GI76" s="42" t="n">
        <f aca="false">Tasks[[#This Row],[_LeafWork]]*Tasks[[#This Row],[_LeafProgress]]</f>
        <v>0</v>
      </c>
      <c r="GJ76" s="89" t="str">
        <f aca="false">IF(AND(Tasks[[#This Row],[_IsLeaf]]=1,Tasks[[#This Row],[_LeafProgress]]&gt;=1),IF(N(Tasks[[#This Row],[Actual Finish]])&gt;0,Tasks[[#This Row],[Actual Finish]],Tasks[[#This Row],[_ShownFcstFinish]]),"")</f>
        <v/>
      </c>
      <c r="GK76" s="42" t="n">
        <f aca="false">IF(Tasks[[#This Row],[_IsLeaf]]=1,N(Tasks[[#This Row],[Story Points]]),0)</f>
        <v>0</v>
      </c>
      <c r="GL76" s="42" t="str">
        <f aca="false">""</f>
        <v/>
      </c>
      <c r="GM76" s="88" t="b">
        <f aca="false">IF(Tasks[[#This Row],[Task Name]]="",FALSE(),AND(Tasks[[#This Row],[_IsLeaf]]=1,N(Tasks[[#This Row],[_Days]])=0))</f>
        <v>0</v>
      </c>
      <c r="GN76" s="89" t="n">
        <f aca="false">IF(Tasks[[#This Row],[Task Name]]="",0,IF(AND(Tasks[[#This Row],[_IsLeaf]]=1,NOT(Tasks[[#This Row],[_IsMilestone]]),N(Tasks[[#This Row],[Progress]])&gt;0),Tasks[[#This Row],[Start]],0))</f>
        <v>0</v>
      </c>
      <c r="GO76" s="89" t="n">
        <f aca="false">IF(Tasks[[#This Row],[_DoneFrom]]=0,0,IF(Tasks[[#This Row],[Progress]]&gt;=1,Tasks[[#This Row],[Finish]],MAX(Tasks[[#This Row],[_DoneFrom]],Tasks[[#This Row],[Start]]+ROUND((Tasks[[#This Row],[Finish]]-Tasks[[#This Row],[Start]]+1)*Tasks[[#This Row],[Progress]],0)-1)))</f>
        <v>0</v>
      </c>
      <c r="GP76" s="89" t="n">
        <f aca="false">IF(Tasks[[#This Row],[Task Name]]="",0,IF(OR(NOT(Tasks[[#This Row],[_IsLeaf]]=1),Tasks[[#This Row],[_IsMilestone]],N(Tasks[[#This Row],[Progress]])&gt;=1),0,IF(Tasks[[#This Row],[_DoneTo]]&gt;0,Tasks[[#This Row],[_DoneTo]]+1,Tasks[[#This Row],[Start]])))</f>
        <v>0</v>
      </c>
      <c r="GQ76" s="89" t="n">
        <f aca="false">IF(Tasks[[#This Row],[_RemFrom]]=0,0,Tasks[[#This Row],[Finish]])</f>
        <v>0</v>
      </c>
      <c r="GR76" s="88" t="b">
        <f aca="false">IF(Tasks[[#This Row],[Task Name]]="",FALSE(),OR(NOT(BaselineSet),N(Tasks[[#This Row],[Baseline Start]])&gt;0))</f>
        <v>0</v>
      </c>
      <c r="GS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6" s="90" t="str">
        <f aca="false">IF(Tasks[[#This Row],[_IsLeaf]]=1,Tasks[[#This Row],[_Row]],"")</f>
        <v/>
      </c>
      <c r="GW76" s="90" t="str">
        <f aca="false">IFERROR(INDEX(Tasks[UID],SMALL(Tasks[_PickKey],Tasks[[#This Row],[_Row]]))&amp;" "&amp;INDEX(Tasks[Task Name],SMALL(Tasks[_PickKey],Tasks[[#This Row],[_Row]])),"")</f>
        <v/>
      </c>
      <c r="GX76" s="42" t="str">
        <f aca="false">IF(Tasks[[#This Row],[Task Name]]="","",IF(Tasks[[#This Row],[_IsSummary]],NETWORKDAYS.INTL(Tasks[[#This Row],[Start]],Tasks[[#This Row],[Finish]],WorkWeek,Holidays),N(Tasks[[#This Row],[_Days]])))</f>
        <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3"/>
      <c r="U77" s="23"/>
      <c r="V77" s="83"/>
      <c r="W77" s="23"/>
      <c r="X77" s="83"/>
      <c r="Y77" s="23"/>
      <c r="Z77" s="83"/>
      <c r="AA77" s="23"/>
      <c r="AB77" s="23"/>
      <c r="AC77" s="7"/>
      <c r="AD77" s="7"/>
      <c r="AE77" s="62" t="str">
        <f aca="false">IF(Tasks[[#This Row],[Task Name]]="","",IF(Tasks[[#This Row],[_IsSummary]],MIN(INDEX(Tasks[_ShownFcstStart],Tasks[[#This Row],[_Row]]+1):INDEX(Tasks[_ShownFcstStart],Tasks[[#This Row],[_Row]]+Tasks[[#This Row],[_Descendants]])),Tasks[[#This Row],[_ShownFcstStart]]))</f>
        <v/>
      </c>
      <c r="AF77" s="62"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7" s="7"/>
      <c r="AK77" s="22"/>
      <c r="AL77" s="23"/>
      <c r="AM77" s="7"/>
      <c r="AN77" s="46"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2" t="str">
        <f aca="false">IF(Tasks[[#This Row],[Task Name]]="","",IF(N(Tasks[[#This Row],[Baseline Start]])&gt;0,Tasks[[#This Row],[Baseline Start]],Tasks[[#This Row],[_CalcStart]]))</f>
        <v/>
      </c>
      <c r="AR77" s="62" t="str">
        <f aca="false">IF(Tasks[[#This Row],[Task Name]]="","",IF(N(Tasks[[#This Row],[Baseline Finish]])&gt;0,Tasks[[#This Row],[Baseline Finish]],Tasks[[#This Row],[_CalcFinish]]))</f>
        <v/>
      </c>
      <c r="AS77" s="46" t="str">
        <f aca="false">IF(Tasks[[#This Row],[Task Name]]="","",IF(Tasks[[#This Row],[Start]]&gt;=Tasks[[#This Row],[Planned Start]],NETWORKDAYS.INTL(Tasks[[#This Row],[Planned Start]],Tasks[[#This Row],[Start]],WorkWeek,Holidays)-1,1-NETWORKDAYS.INTL(Tasks[[#This Row],[Start]],Tasks[[#This Row],[Planned Start]],WorkWeek,Holidays)))</f>
        <v/>
      </c>
      <c r="AT77" s="62" t="str">
        <f aca="false">IF(Tasks[[#This Row],[Task Name]]="","",IF(Tasks[[#This Row],[_IsSummary]],MIN(INDEX(Tasks[_LeafLateStart],Tasks[[#This Row],[_Row]]+1):INDEX(Tasks[_LeafLateStart],Tasks[[#This Row],[_Row]]+Tasks[[#This Row],[_Descendants]])),Tasks[[#This Row],[_LeafLateStart]]))</f>
        <v/>
      </c>
      <c r="AU77" s="62" t="str">
        <f aca="false">IF(Tasks[[#This Row],[Task Name]]="","",IF(Tasks[[#This Row],[_IsSummary]],MAX(INDEX(Tasks[_LeafLateFinish],Tasks[[#This Row],[_Row]]+1):INDEX(Tasks[_LeafLateFinish],Tasks[[#This Row],[_Row]]+Tasks[[#This Row],[_Descendants]])),Tasks[[#This Row],[_LeafLateFinish]]))</f>
        <v/>
      </c>
      <c r="AV77" s="46"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4"/>
      <c r="BA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5"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6"/>
      <c r="BJ77" s="22"/>
      <c r="BK77" s="46" t="str">
        <f aca="false">IF(OR(Tasks[[#This Row],[Task Name]]="",Tasks[[#This Row],[Baseline Duration]]=""),"",Tasks[[#This Row],[_SpanDays]]-N(Tasks[[#This Row],[Baseline Duration]]))</f>
        <v/>
      </c>
      <c r="BL77" s="85" t="str">
        <f aca="false">IF(OR(Tasks[[#This Row],[Task Name]]="",Tasks[[#This Row],[Baseline Work]]=""),"",Tasks[[#This Row],[Work]]-N(Tasks[[#This Row],[Baseline Work]]))</f>
        <v/>
      </c>
      <c r="BM77" s="62" t="str">
        <f aca="false">IF(Tasks[[#This Row],[Task Name]]="","",IF(OR(TakeBaseline="Yes",N(Tasks[[#This Row],[Baseline Start]])=0),Tasks[[#This Row],[Start]],Tasks[[#This Row],[Baseline Start]]))</f>
        <v/>
      </c>
      <c r="BN77" s="62"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5" t="str">
        <f aca="false">IF(Tasks[[#This Row],[Task Name]]="","",IF(OR(TakeBaseline="Yes",N(Tasks[[#This Row],[Baseline Work]])=0),Tasks[[#This Row],[Work]],Tasks[[#This Row],[Baseline Work]]))</f>
        <v/>
      </c>
      <c r="BQ77" s="7"/>
      <c r="BR77" s="7"/>
      <c r="BS77" s="22"/>
      <c r="BT77" s="87"/>
      <c r="BU77" s="42" t="str">
        <f aca="false">IF(Tasks[[#This Row],[Task Name]]="","",MAX(1,N(Tasks[[#This Row],[Level]])))</f>
        <v/>
      </c>
      <c r="BV77" s="42" t="n">
        <f aca="false">ROW()-ROW(Tasks[[#Headers],[ID]])</f>
        <v>72</v>
      </c>
      <c r="BW77" s="42" t="n">
        <f aca="false">IF(OR(Tasks[[#This Row],[Task Name]]="",Tasks[[#This Row],[_Level]]&lt;=1),0,IFERROR(LOOKUP(2,1/(Tasks[[#Headers],[_Level]]:Tasks[[#This Row],[_Level]]=Tasks[[#This Row],[_Level]]-1),ROW(Tasks[[#Headers],[_Level]]:Tasks[[#This Row],[_Level]])),0))</f>
        <v>0</v>
      </c>
      <c r="BX77" s="42" t="n">
        <f aca="false">IFERROR(N(INDEX(Tasks[_Level],Tasks[[#This Row],[_Row]]+1)),0)</f>
        <v>0</v>
      </c>
      <c r="BY77" s="88" t="b">
        <f aca="false">AND(Tasks[[#This Row],[Task Name]]&lt;&gt;"",Tasks[[#This Row],[_NextLevel]]&gt;Tasks[[#This Row],[_Level]])</f>
        <v>0</v>
      </c>
      <c r="BZ77" s="42" t="n">
        <f aca="false">IF(Tasks[[#This Row],[_IsSummary]],COUNTIF(Tasks[WBS],Tasks[[#This Row],[WBS]]&amp;".*"),0)</f>
        <v>0</v>
      </c>
      <c r="CA77" s="42" t="n">
        <f aca="false">IF(AND(Tasks[[#This Row],[Task Name]]&lt;&gt;"",NOT(Tasks[[#This Row],[_IsSummary]])),1,0)</f>
        <v>0</v>
      </c>
      <c r="CB77" s="42" t="n">
        <f aca="false">IF(N(Tasks[[#This Row],[_Pred1UID]])=0,0,IFERROR(MATCH(Tasks[[#This Row],[_Pred1UID]],Tasks[UID],0),-1))</f>
        <v>0</v>
      </c>
      <c r="CC77" s="42" t="n">
        <f aca="false">IF(N(Tasks[[#This Row],[_Pred2UID]])=0,0,IFERROR(MATCH(Tasks[[#This Row],[_Pred2UID]],Tasks[UID],0),-1))</f>
        <v>0</v>
      </c>
      <c r="CD77" s="42" t="n">
        <f aca="false">IF(N(Tasks[[#This Row],[_Pred3UID]])=0,0,IFERROR(MATCH(Tasks[[#This Row],[_Pred3UID]],Tasks[UID],0),-1))</f>
        <v>0</v>
      </c>
      <c r="CE77" s="42" t="n">
        <f aca="false">IF(N(Tasks[[#This Row],[_Pred4UID]])=0,0,IFERROR(MATCH(Tasks[[#This Row],[_Pred4UID]],Tasks[UID],0),-1))</f>
        <v>0</v>
      </c>
      <c r="CF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7" s="89" t="n">
        <f aca="false">IF(OR(Tasks[[#This Row],[_ConstraintCode]]=2,Tasks[[#This Row],[_ConstraintCode]]=3,Tasks[[#This Row],[_ConstraintCode]]=4,Tasks[[#This Row],[_ConstraintCode]]=6),Tasks[[#This Row],[_ConstraintStart]],0)</f>
        <v>0</v>
      </c>
      <c r="CI77" s="89" t="n">
        <f aca="false">IF(OR(Tasks[[#This Row],[_ConstraintCode]]=2,Tasks[[#This Row],[_ConstraintCode]]=3,Tasks[[#This Row],[_ConstraintCode]]=5,Tasks[[#This Row],[_ConstraintCode]]=7),Tasks[[#This Row],[_ConstraintStart]],2958465)</f>
        <v>2958465</v>
      </c>
      <c r="CJ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7" s="89" t="str">
        <f aca="false">IF(NOT(Tasks[[#This Row],[_IsLeaf]]=1),"",IF(N(Tasks[[#This Row],[_Days]])&lt;=0,Tasks[[#This Row],[_LeafCalcStart]],WORKDAY.INTL(Tasks[[#This Row],[_LeafCalcStart]],Tasks[[#This Row],[_Days]]-1,WorkWeek,Holidays)))</f>
        <v/>
      </c>
      <c r="CL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7" s="42" t="str">
        <f aca="false">IF(Tasks[[#This Row],[_Predecessors]]="","",TRIM(MID(SUBSTITUTE(SUBSTITUTE(SUBSTITUTE(UPPER(Tasks[[#This Row],[_Predecessors]]),";",",")," ",""),",",REPT(" ",99)),1,99)))</f>
        <v/>
      </c>
      <c r="CO77" s="42" t="str">
        <f aca="false">IF(Tasks[[#This Row],[_Pred1Text]]="","",IFERROR(VALUE(LEFT(Tasks[[#This Row],[_Pred1Text]],MIN(FIND("F",Tasks[[#This Row],[_Pred1Text]]&amp;"F"),FIND("S",Tasks[[#This Row],[_Pred1Text]]&amp;"S"),FIND("+",Tasks[[#This Row],[_Pred1Text]]&amp;"+"),FIND("-",Tasks[[#This Row],[_Pred1Text]]&amp;"-"))-1)),""))</f>
        <v/>
      </c>
      <c r="CP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7" s="42" t="str">
        <f aca="false">IF(Tasks[[#This Row],[_Pred1Text]]="","",TRIM(MID(SUBSTITUTE(SUBSTITUTE(SUBSTITUTE(UPPER(Tasks[[#This Row],[_Predecessors]]),";",",")," ",""),",",REPT(" ",99)),100,99)))</f>
        <v/>
      </c>
      <c r="CS77" s="42" t="str">
        <f aca="false">IF(Tasks[[#This Row],[_Pred2Text]]="","",IFERROR(VALUE(LEFT(Tasks[[#This Row],[_Pred2Text]],MIN(FIND("F",Tasks[[#This Row],[_Pred2Text]]&amp;"F"),FIND("S",Tasks[[#This Row],[_Pred2Text]]&amp;"S"),FIND("+",Tasks[[#This Row],[_Pred2Text]]&amp;"+"),FIND("-",Tasks[[#This Row],[_Pred2Text]]&amp;"-"))-1)),""))</f>
        <v/>
      </c>
      <c r="CT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7" s="42" t="str">
        <f aca="false">IF(Tasks[[#This Row],[_Pred2Text]]="","",TRIM(MID(SUBSTITUTE(SUBSTITUTE(SUBSTITUTE(UPPER(Tasks[[#This Row],[_Predecessors]]),";",",")," ",""),",",REPT(" ",99)),199,99)))</f>
        <v/>
      </c>
      <c r="CW77" s="42" t="str">
        <f aca="false">IF(Tasks[[#This Row],[_Pred3Text]]="","",IFERROR(VALUE(LEFT(Tasks[[#This Row],[_Pred3Text]],MIN(FIND("F",Tasks[[#This Row],[_Pred3Text]]&amp;"F"),FIND("S",Tasks[[#This Row],[_Pred3Text]]&amp;"S"),FIND("+",Tasks[[#This Row],[_Pred3Text]]&amp;"+"),FIND("-",Tasks[[#This Row],[_Pred3Text]]&amp;"-"))-1)),""))</f>
        <v/>
      </c>
      <c r="CX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7" s="42" t="str">
        <f aca="false">IF(Tasks[[#This Row],[_Pred3Text]]="","",TRIM(MID(SUBSTITUTE(SUBSTITUTE(SUBSTITUTE(UPPER(Tasks[[#This Row],[_Predecessors]]),";",",")," ",""),",",REPT(" ",99)),298,99)))</f>
        <v/>
      </c>
      <c r="DA77" s="42" t="str">
        <f aca="false">IF(Tasks[[#This Row],[_Pred4Text]]="","",IFERROR(VALUE(LEFT(Tasks[[#This Row],[_Pred4Text]],MIN(FIND("F",Tasks[[#This Row],[_Pred4Text]]&amp;"F"),FIND("S",Tasks[[#This Row],[_Pred4Text]]&amp;"S"),FIND("+",Tasks[[#This Row],[_Pred4Text]]&amp;"+"),FIND("-",Tasks[[#This Row],[_Pred4Text]]&amp;"-"))-1)),""))</f>
        <v/>
      </c>
      <c r="DB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7" s="42" t="str">
        <f aca="false">IF(OR(Tasks[[#This Row],[Task Name]]="",Tasks[[#This Row],[_Resources]]=""),"",TRIM(MID(SUBSTITUTE(Tasks[[#This Row],[_Resources]],",",REPT(" ",99)),1,99)))</f>
        <v/>
      </c>
      <c r="DE77" s="42" t="str">
        <f aca="false">IF(Tasks[[#This Row],[_Res1Text]]="","",TRIM(MID(SUBSTITUTE(Tasks[[#This Row],[_Resources]],",",REPT(" ",99)),100,99)))</f>
        <v/>
      </c>
      <c r="DF77" s="42" t="str">
        <f aca="false">IF(Tasks[[#This Row],[_Res2Text]]="","",TRIM(MID(SUBSTITUTE(Tasks[[#This Row],[_Resources]],",",REPT(" ",99)),199,99)))</f>
        <v/>
      </c>
      <c r="DG77" s="42" t="str">
        <f aca="false">IF(Tasks[[#This Row],[_Res3Text]]="","",TRIM(MID(SUBSTITUTE(Tasks[[#This Row],[_Resources]],",",REPT(" ",99)),298,99)))</f>
        <v/>
      </c>
      <c r="DH77" s="42" t="n">
        <f aca="false">IF(Tasks[[#This Row],[_Res1Text]]="",0,IFERROR(MATCH(TRIM(LEFT(Tasks[[#This Row],[_Res1Text]],FIND("[",Tasks[[#This Row],[_Res1Text]]&amp;"[")-1)),res_Name,0),IFERROR(MATCH(TRIM(LEFT(Tasks[[#This Row],[_Res1Text]],FIND("[",Tasks[[#This Row],[_Res1Text]]&amp;"[")-1)),res_Initials,0),0)))</f>
        <v>0</v>
      </c>
      <c r="DI77" s="42" t="n">
        <f aca="false">IF(Tasks[[#This Row],[_Res2Text]]="",0,IFERROR(MATCH(TRIM(LEFT(Tasks[[#This Row],[_Res2Text]],FIND("[",Tasks[[#This Row],[_Res2Text]]&amp;"[")-1)),res_Name,0),IFERROR(MATCH(TRIM(LEFT(Tasks[[#This Row],[_Res2Text]],FIND("[",Tasks[[#This Row],[_Res2Text]]&amp;"[")-1)),res_Initials,0),0)))</f>
        <v>0</v>
      </c>
      <c r="DJ77" s="42" t="n">
        <f aca="false">IF(Tasks[[#This Row],[_Res3Text]]="",0,IFERROR(MATCH(TRIM(LEFT(Tasks[[#This Row],[_Res3Text]],FIND("[",Tasks[[#This Row],[_Res3Text]]&amp;"[")-1)),res_Name,0),IFERROR(MATCH(TRIM(LEFT(Tasks[[#This Row],[_Res3Text]],FIND("[",Tasks[[#This Row],[_Res3Text]]&amp;"[")-1)),res_Initials,0),0)))</f>
        <v>0</v>
      </c>
      <c r="DK77" s="42" t="n">
        <f aca="false">IF(Tasks[[#This Row],[_Res4Text]]="",0,IFERROR(MATCH(TRIM(LEFT(Tasks[[#This Row],[_Res4Text]],FIND("[",Tasks[[#This Row],[_Res4Text]]&amp;"[")-1)),res_Name,0),IFERROR(MATCH(TRIM(LEFT(Tasks[[#This Row],[_Res4Text]],FIND("[",Tasks[[#This Row],[_Res4Text]]&amp;"[")-1)),res_Initials,0),0)))</f>
        <v>0</v>
      </c>
      <c r="DL77" s="42" t="str">
        <f aca="false">IF(Tasks[[#This Row],[_Res1Text]]="","",IF(Tasks[[#This Row],[_Res1Row]]&gt;0,INDEX(res_Name,Tasks[[#This Row],[_Res1Row]]),TRIM(LEFT(Tasks[[#This Row],[_Res1Text]],FIND("[",Tasks[[#This Row],[_Res1Text]]&amp;"[")-1))))</f>
        <v/>
      </c>
      <c r="DM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7" s="42" t="n">
        <f aca="false">IF(NOT(Tasks[[#This Row],[_IsLeaf]]=1),0,(Tasks[[#This Row],[_Resource1]]&lt;&gt;"")+(Tasks[[#This Row],[_Res2]]&lt;&gt;"")+(Tasks[[#This Row],[_Res3]]&lt;&gt;"")+(Tasks[[#This Row],[_Res4]]&lt;&gt;""))</f>
        <v>0</v>
      </c>
      <c r="DO77" s="42" t="str">
        <f aca="false">IF(Tasks[[#This Row],[_Res2Text]]="","",IF(Tasks[[#This Row],[_Res2Row]]&gt;0,INDEX(res_Name,Tasks[[#This Row],[_Res2Row]]),TRIM(LEFT(Tasks[[#This Row],[_Res2Text]],FIND("[",Tasks[[#This Row],[_Res2Text]]&amp;"[")-1))))</f>
        <v/>
      </c>
      <c r="DP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7" s="42" t="n">
        <f aca="false">IF(OR(NOT(Tasks[[#This Row],[_IsLeaf]]=1),Tasks[[#This Row],[_Res2Row]]=0),0,N(Tasks[[#This Row],[_Days]])*HoursPerDay*IF(Tasks[[#This Row],[_Res2Units]]="",DefaultUnits,Tasks[[#This Row],[_Res2Units]]))</f>
        <v>0</v>
      </c>
      <c r="DR77" s="42" t="n">
        <f aca="false">IF(AND(AND(Tasks[[#This Row],[_IsLeaf]]=1,Tasks[[#This Row],[_LeafTotalWork]]&gt;0),Tasks[[#This Row],[_Res2Work]]&gt;0),Tasks[[#This Row],[_Res2Work]]/(Tasks[[#This Row],[_FinishWorkday]]-Tasks[[#This Row],[_StartWorkday]]+1),0)</f>
        <v>0</v>
      </c>
      <c r="DS77" s="42" t="n">
        <f aca="false">Tasks[[#This Row],[_Res2WorkPerWD]]*MAX(0,Tasks[[#This Row],[_StartWorkday]]-1)</f>
        <v>0</v>
      </c>
      <c r="DT77" s="42" t="n">
        <f aca="false">Tasks[[#This Row],[_Res2Work]]*Tasks[[#This Row],[_LeafProgress]]</f>
        <v>0</v>
      </c>
      <c r="DU77" s="42" t="str">
        <f aca="false">IF(Tasks[[#This Row],[_Res3Text]]="","",IF(Tasks[[#This Row],[_Res3Row]]&gt;0,INDEX(res_Name,Tasks[[#This Row],[_Res3Row]]),TRIM(LEFT(Tasks[[#This Row],[_Res3Text]],FIND("[",Tasks[[#This Row],[_Res3Text]]&amp;"[")-1))))</f>
        <v/>
      </c>
      <c r="DV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7" s="42" t="n">
        <f aca="false">IF(OR(NOT(Tasks[[#This Row],[_IsLeaf]]=1),Tasks[[#This Row],[_Res3Row]]=0),0,N(Tasks[[#This Row],[_Days]])*HoursPerDay*IF(Tasks[[#This Row],[_Res3Units]]="",DefaultUnits,Tasks[[#This Row],[_Res3Units]]))</f>
        <v>0</v>
      </c>
      <c r="DX77" s="42" t="n">
        <f aca="false">IF(AND(AND(Tasks[[#This Row],[_IsLeaf]]=1,Tasks[[#This Row],[_LeafTotalWork]]&gt;0),Tasks[[#This Row],[_Res3Work]]&gt;0),Tasks[[#This Row],[_Res3Work]]/(Tasks[[#This Row],[_FinishWorkday]]-Tasks[[#This Row],[_StartWorkday]]+1),0)</f>
        <v>0</v>
      </c>
      <c r="DY77" s="42" t="n">
        <f aca="false">Tasks[[#This Row],[_Res3WorkPerWD]]*MAX(0,Tasks[[#This Row],[_StartWorkday]]-1)</f>
        <v>0</v>
      </c>
      <c r="DZ77" s="42" t="n">
        <f aca="false">Tasks[[#This Row],[_Res3Work]]*Tasks[[#This Row],[_LeafProgress]]</f>
        <v>0</v>
      </c>
      <c r="EA77" s="42" t="str">
        <f aca="false">IF(Tasks[[#This Row],[_Res4Text]]="","",IF(Tasks[[#This Row],[_Res4Row]]&gt;0,INDEX(res_Name,Tasks[[#This Row],[_Res4Row]]),TRIM(LEFT(Tasks[[#This Row],[_Res4Text]],FIND("[",Tasks[[#This Row],[_Res4Text]]&amp;"[")-1))))</f>
        <v/>
      </c>
      <c r="EB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7" s="42" t="n">
        <f aca="false">IF(OR(NOT(Tasks[[#This Row],[_IsLeaf]]=1),Tasks[[#This Row],[_Res4Row]]=0),0,N(Tasks[[#This Row],[_Days]])*HoursPerDay*IF(Tasks[[#This Row],[_Res4Units]]="",DefaultUnits,Tasks[[#This Row],[_Res4Units]]))</f>
        <v>0</v>
      </c>
      <c r="ED77" s="42" t="n">
        <f aca="false">IF(AND(AND(Tasks[[#This Row],[_IsLeaf]]=1,Tasks[[#This Row],[_LeafTotalWork]]&gt;0),Tasks[[#This Row],[_Res4Work]]&gt;0),Tasks[[#This Row],[_Res4Work]]/(Tasks[[#This Row],[_FinishWorkday]]-Tasks[[#This Row],[_StartWorkday]]+1),0)</f>
        <v>0</v>
      </c>
      <c r="EE77" s="42" t="n">
        <f aca="false">Tasks[[#This Row],[_Res4WorkPerWD]]*MAX(0,Tasks[[#This Row],[_StartWorkday]]-1)</f>
        <v>0</v>
      </c>
      <c r="EF77" s="42" t="n">
        <f aca="false">Tasks[[#This Row],[_Res4Work]]*Tasks[[#This Row],[_LeafProgress]]</f>
        <v>0</v>
      </c>
      <c r="EG77" s="42" t="n">
        <f aca="false">IF(ISNUMBER(Tasks[[#This Row],[% Complete]]),Tasks[[#This Row],[% Complete]],IF(Tasks[[#This Row],[Stage]]="",0,IFERROR(INDEX(stg_Pct,MATCH(Tasks[[#This Row],[Stage]],stg_Name,0)),0)))</f>
        <v>0</v>
      </c>
      <c r="EH77" s="42" t="n">
        <f aca="false">IF(NOT(Tasks[[#This Row],[_IsLeaf]]=1),0,IF(N(Tasks[[#This Row],[Actual Finish]])&gt;0,1,MIN(1,Tasks[[#This Row],[_Pct]])))</f>
        <v>0</v>
      </c>
      <c r="EI77" s="42" t="n">
        <f aca="false">IF(OR(NOT(Tasks[[#This Row],[_IsLeaf]]=1),Tasks[[#This Row],[_Res1Row]]=0),0,N(Tasks[[#This Row],[_Days]])*HoursPerDay*IF(Tasks[[#This Row],[_Units1]]="",DefaultUnits,Tasks[[#This Row],[_Units1]]))</f>
        <v>0</v>
      </c>
      <c r="EJ77" s="42" t="n">
        <f aca="false">Tasks[[#This Row],[_LeafWork]]+Tasks[[#This Row],[_Res2Work]]+Tasks[[#This Row],[_Res3Work]]+Tasks[[#This Row],[_Res4Work]]</f>
        <v>0</v>
      </c>
      <c r="EK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7" s="42" t="n">
        <f aca="false">IF(NOT(Tasks[[#This Row],[_IsLeaf]]=1),0,MAX(_xlfn.MAXIFS(Tasks[_Row],Tasks[_Pred1UID],Tasks[[#This Row],[UID]]),_xlfn.MAXIFS(Tasks[_Row],Tasks[_Pred2UID],Tasks[[#This Row],[UID]]),_xlfn.MAXIFS(Tasks[_Row],Tasks[_Pred3UID],Tasks[[#This Row],[UID]]),_xlfn.MAXIFS(Tasks[_Row],Tasks[_Pred4UID],Tasks[[#This Row],[UID]])))</f>
        <v>0</v>
      </c>
      <c r="ET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7" s="89" t="str">
        <f aca="false">IF(NOT(Tasks[[#This Row],[_IsLeaf]]=1),"",IF(N(Tasks[[#This Row],[_Days]])&lt;=0,Tasks[[#This Row],[_LeafLateFinish]],WORKDAY.INTL(Tasks[[#This Row],[_LeafLateFinish]],-(Tasks[[#This Row],[_Days]]-1),WorkWeek,Holidays)))</f>
        <v/>
      </c>
      <c r="EW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7" s="88" t="b">
        <f aca="false">AND(Tasks[[#This Row],[_IsLeaf]]=1,Tasks[[#This Row],[_LeafProgress]]&lt;1,N(Tasks[[#This Row],[_LeafTotalSlack]])&lt;=CriticalSlackDays)</f>
        <v>0</v>
      </c>
      <c r="EY77" s="42" t="n">
        <f aca="false">IF(AND(Tasks[[#This Row],[_IsLeaf]]=1,Tasks[[#This Row],[_ConstraintCode]]=1,Tasks[[#This Row],[Mode]]&lt;&gt;"Manual",N(Tasks[[#This Row],[Actual Start]])=0),MAX(0,N(Tasks[[#This Row],[Free Slack]])),0)</f>
        <v>0</v>
      </c>
      <c r="EZ77" s="89" t="str">
        <f aca="false">IF(NOT(Tasks[[#This Row],[_IsLeaf]]=1),"",IF(Tasks[[#This Row],[_AlapShift]]=0,Tasks[[#This Row],[_LeafCalcStart]],WORKDAY.INTL(Tasks[[#This Row],[_LeafCalcStart]],Tasks[[#This Row],[_AlapShift]],WorkWeek,Holidays)))</f>
        <v/>
      </c>
      <c r="FA77" s="89" t="str">
        <f aca="false">IF(NOT(Tasks[[#This Row],[_IsLeaf]]=1),"",IF(Tasks[[#This Row],[_AlapShift]]=0,Tasks[[#This Row],[_LeafCalcFinish]],WORKDAY.INTL(Tasks[[#This Row],[_LeafCalcFinish]],Tasks[[#This Row],[_AlapShift]],WorkWeek,Holidays)))</f>
        <v/>
      </c>
      <c r="FB77" s="89" t="str">
        <f aca="false">IF(NOT(Tasks[[#This Row],[_IsLeaf]]=1),"",IF(Tasks[[#This Row],[_AlapShift]]=0,Tasks[[#This Row],[_LeafFcstStart]],WORKDAY.INTL(Tasks[[#This Row],[_LeafFcstStart]],Tasks[[#This Row],[_AlapShift]],WorkWeek,Holidays)))</f>
        <v/>
      </c>
      <c r="FC77" s="89" t="str">
        <f aca="false">IF(NOT(Tasks[[#This Row],[_IsLeaf]]=1),"",IF(Tasks[[#This Row],[_AlapShift]]=0,Tasks[[#This Row],[_LeafFcstFinish]],WORKDAY.INTL(Tasks[[#This Row],[_LeafFcstFinish]],Tasks[[#This Row],[_AlapShift]],WorkWeek,Holidays)))</f>
        <v/>
      </c>
      <c r="FD77" s="89" t="str">
        <f aca="false">IF(Tasks[[#This Row],[Task Name]]="","",IF(Tasks[[#This Row],[_IsSummary]],MIN(INDEX(Tasks[_ShownCalcStart],Tasks[[#This Row],[_Row]]+1):INDEX(Tasks[_ShownCalcStart],Tasks[[#This Row],[_Row]]+Tasks[[#This Row],[_Descendants]])),Tasks[[#This Row],[_ShownCalcStart]]))</f>
        <v/>
      </c>
      <c r="FE77" s="89" t="str">
        <f aca="false">IF(Tasks[[#This Row],[Task Name]]="","",IF(Tasks[[#This Row],[_IsSummary]],MAX(INDEX(Tasks[_ShownCalcFinish],Tasks[[#This Row],[_Row]]+1):INDEX(Tasks[_ShownCalcFinish],Tasks[[#This Row],[_Row]]+Tasks[[#This Row],[_Descendants]])),Tasks[[#This Row],[_ShownCalcFinish]]))</f>
        <v/>
      </c>
      <c r="FF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7" s="42" t="n">
        <f aca="false">IF(AND(Tasks[[#This Row],[_IsLeaf]]=1,Tasks[[#This Row],[_LeafTotalWork]]&gt;0),NETWORKDAYS.INTL(ProjectStart,Tasks[[#This Row],[_ShownFcstStart]],WorkWeek,Holidays),0)</f>
        <v>0</v>
      </c>
      <c r="FS77" s="42" t="n">
        <f aca="false">IF(AND(Tasks[[#This Row],[_IsLeaf]]=1,Tasks[[#This Row],[_LeafTotalWork]]&gt;0),MAX(Tasks[[#This Row],[_StartWorkday]],NETWORKDAYS.INTL(ProjectStart,Tasks[[#This Row],[_ShownFcstFinish]],WorkWeek,Holidays)),0)</f>
        <v>0</v>
      </c>
      <c r="FT77" s="42" t="n">
        <f aca="false">IF(AND(Tasks[[#This Row],[_IsLeaf]]=1,Tasks[[#This Row],[_LeafTotalWork]]&gt;0),Tasks[[#This Row],[_LeafWork]]/(Tasks[[#This Row],[_FinishWorkday]]-Tasks[[#This Row],[_StartWorkday]]+1),0)</f>
        <v>0</v>
      </c>
      <c r="FU77" s="42" t="n">
        <f aca="false">Tasks[[#This Row],[_WorkPerWorkday]]*(Tasks[[#This Row],[_StartWorkday]]-1)</f>
        <v>-0</v>
      </c>
      <c r="FV77" s="42" t="n">
        <f aca="false">IF(Tasks[[#This Row],[_IsLeaf]]=1,MAX(N(Tasks[[#This Row],[_Days]]),0.1),0)</f>
        <v>0</v>
      </c>
      <c r="FW77" s="42" t="n">
        <f aca="false">Tasks[[#This Row],[_WeightDur]]*Tasks[[#This Row],[_LeafProgress]]</f>
        <v>0</v>
      </c>
      <c r="FX77" s="42" t="n">
        <f aca="false">Tasks[[#This Row],[_WeightDur]]*Tasks[[#This Row],[_PlannedPct]]</f>
        <v>0</v>
      </c>
      <c r="FY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7" s="42" t="str">
        <f aca="false">IF(AND(Tasks[[#This Row],[_IsLeaf]]=1,N(Tasks[[#This Row],[_Days]])=0,Tasks[[#This Row],[_LeafProgress]]&lt;1),Tasks[[#This Row],[_ShownFcstFinish]]+Tasks[[#This Row],[_Row]]/100000,"")</f>
        <v/>
      </c>
      <c r="GA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7" s="42" t="str">
        <f aca="false">IF(Tasks[[#This Row],[Task Name]]="","",LEFT(Tasks[[#This Row],[WBS]],FIND(".",Tasks[[#This Row],[WBS]]&amp;".")-1))</f>
        <v/>
      </c>
      <c r="GC77" s="42" t="str">
        <f aca="false">IF(AND(Tasks[[#This Row],[Task Name]]&lt;&gt;"",Tasks[[#This Row],[_Level]]=1),Tasks[[#This Row],[_Row]],"")</f>
        <v/>
      </c>
      <c r="GD77" s="42" t="str">
        <f aca="false">IF(AND(Tasks[[#This Row],[_IsLeaf]]=1,N(Tasks[[#This Row],[_Days]])=0),Tasks[[#This Row],[Planned Finish]]+Tasks[[#This Row],[_Row]]/100000,"")</f>
        <v/>
      </c>
      <c r="GE77" s="42" t="str">
        <f aca="false">IF(AND(Tasks[[#This Row],[_IsLeaf]]=1,Tasks[[#This Row],[_LeafProgress]]&lt;1,OR(N(Tasks[[#This Row],[Finish Var]])&gt;0,Tasks[[#This Row],[Status]]="Late Start")),MAX(0,Tasks[[#This Row],[Finish Var]])+1-Tasks[[#This Row],[_Row]]/1000000,"")</f>
        <v/>
      </c>
      <c r="GF77" s="42" t="str">
        <f aca="false">IF(AND(Tasks[[#This Row],[_IsLeaf]]=1,N(Tasks[[#This Row],[Actual Start]])=0,Tasks[[#This Row],[_ShownFcstStart]]&gt;=StatusDate,Tasks[[#This Row],[_ShownFcstStart]]&lt;=LookaheadEnd),Tasks[[#This Row],[_ShownFcstStart]]+Tasks[[#This Row],[_Row]]/100000,"")</f>
        <v/>
      </c>
      <c r="GG77" s="42" t="str">
        <f aca="false">IF(AND(Tasks[[#This Row],[_IsLeaf]]=1,Tasks[[#This Row],[_LeafProgress]]&lt;1,Tasks[[#This Row],[_ShownFcstFinish]]&gt;=StatusDate,Tasks[[#This Row],[_ShownFcstFinish]]&lt;=LookaheadEnd),Tasks[[#This Row],[_ShownFcstFinish]]+Tasks[[#This Row],[_Row]]/100000,"")</f>
        <v/>
      </c>
      <c r="GH77" s="42" t="str">
        <f aca="false">IF(Tasks[[#This Row],[_LeafCritical]],Tasks[[#This Row],[_ShownFcstStart]]+Tasks[[#This Row],[_Row]]/100000,"")</f>
        <v/>
      </c>
      <c r="GI77" s="42" t="n">
        <f aca="false">Tasks[[#This Row],[_LeafWork]]*Tasks[[#This Row],[_LeafProgress]]</f>
        <v>0</v>
      </c>
      <c r="GJ77" s="89" t="str">
        <f aca="false">IF(AND(Tasks[[#This Row],[_IsLeaf]]=1,Tasks[[#This Row],[_LeafProgress]]&gt;=1),IF(N(Tasks[[#This Row],[Actual Finish]])&gt;0,Tasks[[#This Row],[Actual Finish]],Tasks[[#This Row],[_ShownFcstFinish]]),"")</f>
        <v/>
      </c>
      <c r="GK77" s="42" t="n">
        <f aca="false">IF(Tasks[[#This Row],[_IsLeaf]]=1,N(Tasks[[#This Row],[Story Points]]),0)</f>
        <v>0</v>
      </c>
      <c r="GL77" s="42" t="str">
        <f aca="false">""</f>
        <v/>
      </c>
      <c r="GM77" s="88" t="b">
        <f aca="false">IF(Tasks[[#This Row],[Task Name]]="",FALSE(),AND(Tasks[[#This Row],[_IsLeaf]]=1,N(Tasks[[#This Row],[_Days]])=0))</f>
        <v>0</v>
      </c>
      <c r="GN77" s="89" t="n">
        <f aca="false">IF(Tasks[[#This Row],[Task Name]]="",0,IF(AND(Tasks[[#This Row],[_IsLeaf]]=1,NOT(Tasks[[#This Row],[_IsMilestone]]),N(Tasks[[#This Row],[Progress]])&gt;0),Tasks[[#This Row],[Start]],0))</f>
        <v>0</v>
      </c>
      <c r="GO77" s="89" t="n">
        <f aca="false">IF(Tasks[[#This Row],[_DoneFrom]]=0,0,IF(Tasks[[#This Row],[Progress]]&gt;=1,Tasks[[#This Row],[Finish]],MAX(Tasks[[#This Row],[_DoneFrom]],Tasks[[#This Row],[Start]]+ROUND((Tasks[[#This Row],[Finish]]-Tasks[[#This Row],[Start]]+1)*Tasks[[#This Row],[Progress]],0)-1)))</f>
        <v>0</v>
      </c>
      <c r="GP77" s="89" t="n">
        <f aca="false">IF(Tasks[[#This Row],[Task Name]]="",0,IF(OR(NOT(Tasks[[#This Row],[_IsLeaf]]=1),Tasks[[#This Row],[_IsMilestone]],N(Tasks[[#This Row],[Progress]])&gt;=1),0,IF(Tasks[[#This Row],[_DoneTo]]&gt;0,Tasks[[#This Row],[_DoneTo]]+1,Tasks[[#This Row],[Start]])))</f>
        <v>0</v>
      </c>
      <c r="GQ77" s="89" t="n">
        <f aca="false">IF(Tasks[[#This Row],[_RemFrom]]=0,0,Tasks[[#This Row],[Finish]])</f>
        <v>0</v>
      </c>
      <c r="GR77" s="88" t="b">
        <f aca="false">IF(Tasks[[#This Row],[Task Name]]="",FALSE(),OR(NOT(BaselineSet),N(Tasks[[#This Row],[Baseline Start]])&gt;0))</f>
        <v>0</v>
      </c>
      <c r="GS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7" s="90" t="str">
        <f aca="false">IF(Tasks[[#This Row],[_IsLeaf]]=1,Tasks[[#This Row],[_Row]],"")</f>
        <v/>
      </c>
      <c r="GW77" s="90" t="str">
        <f aca="false">IFERROR(INDEX(Tasks[UID],SMALL(Tasks[_PickKey],Tasks[[#This Row],[_Row]]))&amp;" "&amp;INDEX(Tasks[Task Name],SMALL(Tasks[_PickKey],Tasks[[#This Row],[_Row]])),"")</f>
        <v/>
      </c>
      <c r="GX77" s="42" t="str">
        <f aca="false">IF(Tasks[[#This Row],[Task Name]]="","",IF(Tasks[[#This Row],[_IsSummary]],NETWORKDAYS.INTL(Tasks[[#This Row],[Start]],Tasks[[#This Row],[Finish]],WorkWeek,Holidays),N(Tasks[[#This Row],[_Days]])))</f>
        <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3"/>
      <c r="U78" s="23"/>
      <c r="V78" s="83"/>
      <c r="W78" s="23"/>
      <c r="X78" s="83"/>
      <c r="Y78" s="23"/>
      <c r="Z78" s="83"/>
      <c r="AA78" s="23"/>
      <c r="AB78" s="23"/>
      <c r="AC78" s="7"/>
      <c r="AD78" s="7"/>
      <c r="AE78" s="62" t="str">
        <f aca="false">IF(Tasks[[#This Row],[Task Name]]="","",IF(Tasks[[#This Row],[_IsSummary]],MIN(INDEX(Tasks[_ShownFcstStart],Tasks[[#This Row],[_Row]]+1):INDEX(Tasks[_ShownFcstStart],Tasks[[#This Row],[_Row]]+Tasks[[#This Row],[_Descendants]])),Tasks[[#This Row],[_ShownFcstStart]]))</f>
        <v/>
      </c>
      <c r="AF78" s="62"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8" s="7"/>
      <c r="AK78" s="22"/>
      <c r="AL78" s="23"/>
      <c r="AM78" s="7"/>
      <c r="AN78" s="46"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2" t="str">
        <f aca="false">IF(Tasks[[#This Row],[Task Name]]="","",IF(N(Tasks[[#This Row],[Baseline Start]])&gt;0,Tasks[[#This Row],[Baseline Start]],Tasks[[#This Row],[_CalcStart]]))</f>
        <v/>
      </c>
      <c r="AR78" s="62" t="str">
        <f aca="false">IF(Tasks[[#This Row],[Task Name]]="","",IF(N(Tasks[[#This Row],[Baseline Finish]])&gt;0,Tasks[[#This Row],[Baseline Finish]],Tasks[[#This Row],[_CalcFinish]]))</f>
        <v/>
      </c>
      <c r="AS78" s="46" t="str">
        <f aca="false">IF(Tasks[[#This Row],[Task Name]]="","",IF(Tasks[[#This Row],[Start]]&gt;=Tasks[[#This Row],[Planned Start]],NETWORKDAYS.INTL(Tasks[[#This Row],[Planned Start]],Tasks[[#This Row],[Start]],WorkWeek,Holidays)-1,1-NETWORKDAYS.INTL(Tasks[[#This Row],[Start]],Tasks[[#This Row],[Planned Start]],WorkWeek,Holidays)))</f>
        <v/>
      </c>
      <c r="AT78" s="62" t="str">
        <f aca="false">IF(Tasks[[#This Row],[Task Name]]="","",IF(Tasks[[#This Row],[_IsSummary]],MIN(INDEX(Tasks[_LeafLateStart],Tasks[[#This Row],[_Row]]+1):INDEX(Tasks[_LeafLateStart],Tasks[[#This Row],[_Row]]+Tasks[[#This Row],[_Descendants]])),Tasks[[#This Row],[_LeafLateStart]]))</f>
        <v/>
      </c>
      <c r="AU78" s="62" t="str">
        <f aca="false">IF(Tasks[[#This Row],[Task Name]]="","",IF(Tasks[[#This Row],[_IsSummary]],MAX(INDEX(Tasks[_LeafLateFinish],Tasks[[#This Row],[_Row]]+1):INDEX(Tasks[_LeafLateFinish],Tasks[[#This Row],[_Row]]+Tasks[[#This Row],[_Descendants]])),Tasks[[#This Row],[_LeafLateFinish]]))</f>
        <v/>
      </c>
      <c r="AV78" s="46"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4"/>
      <c r="BA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5"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6"/>
      <c r="BJ78" s="22"/>
      <c r="BK78" s="46" t="str">
        <f aca="false">IF(OR(Tasks[[#This Row],[Task Name]]="",Tasks[[#This Row],[Baseline Duration]]=""),"",Tasks[[#This Row],[_SpanDays]]-N(Tasks[[#This Row],[Baseline Duration]]))</f>
        <v/>
      </c>
      <c r="BL78" s="85" t="str">
        <f aca="false">IF(OR(Tasks[[#This Row],[Task Name]]="",Tasks[[#This Row],[Baseline Work]]=""),"",Tasks[[#This Row],[Work]]-N(Tasks[[#This Row],[Baseline Work]]))</f>
        <v/>
      </c>
      <c r="BM78" s="62" t="str">
        <f aca="false">IF(Tasks[[#This Row],[Task Name]]="","",IF(OR(TakeBaseline="Yes",N(Tasks[[#This Row],[Baseline Start]])=0),Tasks[[#This Row],[Start]],Tasks[[#This Row],[Baseline Start]]))</f>
        <v/>
      </c>
      <c r="BN78" s="62"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5" t="str">
        <f aca="false">IF(Tasks[[#This Row],[Task Name]]="","",IF(OR(TakeBaseline="Yes",N(Tasks[[#This Row],[Baseline Work]])=0),Tasks[[#This Row],[Work]],Tasks[[#This Row],[Baseline Work]]))</f>
        <v/>
      </c>
      <c r="BQ78" s="7"/>
      <c r="BR78" s="7"/>
      <c r="BS78" s="22"/>
      <c r="BT78" s="87"/>
      <c r="BU78" s="42" t="str">
        <f aca="false">IF(Tasks[[#This Row],[Task Name]]="","",MAX(1,N(Tasks[[#This Row],[Level]])))</f>
        <v/>
      </c>
      <c r="BV78" s="42" t="n">
        <f aca="false">ROW()-ROW(Tasks[[#Headers],[ID]])</f>
        <v>73</v>
      </c>
      <c r="BW78" s="42" t="n">
        <f aca="false">IF(OR(Tasks[[#This Row],[Task Name]]="",Tasks[[#This Row],[_Level]]&lt;=1),0,IFERROR(LOOKUP(2,1/(Tasks[[#Headers],[_Level]]:Tasks[[#This Row],[_Level]]=Tasks[[#This Row],[_Level]]-1),ROW(Tasks[[#Headers],[_Level]]:Tasks[[#This Row],[_Level]])),0))</f>
        <v>0</v>
      </c>
      <c r="BX78" s="42" t="n">
        <f aca="false">IFERROR(N(INDEX(Tasks[_Level],Tasks[[#This Row],[_Row]]+1)),0)</f>
        <v>0</v>
      </c>
      <c r="BY78" s="88" t="b">
        <f aca="false">AND(Tasks[[#This Row],[Task Name]]&lt;&gt;"",Tasks[[#This Row],[_NextLevel]]&gt;Tasks[[#This Row],[_Level]])</f>
        <v>0</v>
      </c>
      <c r="BZ78" s="42" t="n">
        <f aca="false">IF(Tasks[[#This Row],[_IsSummary]],COUNTIF(Tasks[WBS],Tasks[[#This Row],[WBS]]&amp;".*"),0)</f>
        <v>0</v>
      </c>
      <c r="CA78" s="42" t="n">
        <f aca="false">IF(AND(Tasks[[#This Row],[Task Name]]&lt;&gt;"",NOT(Tasks[[#This Row],[_IsSummary]])),1,0)</f>
        <v>0</v>
      </c>
      <c r="CB78" s="42" t="n">
        <f aca="false">IF(N(Tasks[[#This Row],[_Pred1UID]])=0,0,IFERROR(MATCH(Tasks[[#This Row],[_Pred1UID]],Tasks[UID],0),-1))</f>
        <v>0</v>
      </c>
      <c r="CC78" s="42" t="n">
        <f aca="false">IF(N(Tasks[[#This Row],[_Pred2UID]])=0,0,IFERROR(MATCH(Tasks[[#This Row],[_Pred2UID]],Tasks[UID],0),-1))</f>
        <v>0</v>
      </c>
      <c r="CD78" s="42" t="n">
        <f aca="false">IF(N(Tasks[[#This Row],[_Pred3UID]])=0,0,IFERROR(MATCH(Tasks[[#This Row],[_Pred3UID]],Tasks[UID],0),-1))</f>
        <v>0</v>
      </c>
      <c r="CE78" s="42" t="n">
        <f aca="false">IF(N(Tasks[[#This Row],[_Pred4UID]])=0,0,IFERROR(MATCH(Tasks[[#This Row],[_Pred4UID]],Tasks[UID],0),-1))</f>
        <v>0</v>
      </c>
      <c r="CF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8" s="89" t="n">
        <f aca="false">IF(OR(Tasks[[#This Row],[_ConstraintCode]]=2,Tasks[[#This Row],[_ConstraintCode]]=3,Tasks[[#This Row],[_ConstraintCode]]=4,Tasks[[#This Row],[_ConstraintCode]]=6),Tasks[[#This Row],[_ConstraintStart]],0)</f>
        <v>0</v>
      </c>
      <c r="CI78" s="89" t="n">
        <f aca="false">IF(OR(Tasks[[#This Row],[_ConstraintCode]]=2,Tasks[[#This Row],[_ConstraintCode]]=3,Tasks[[#This Row],[_ConstraintCode]]=5,Tasks[[#This Row],[_ConstraintCode]]=7),Tasks[[#This Row],[_ConstraintStart]],2958465)</f>
        <v>2958465</v>
      </c>
      <c r="CJ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8" s="89" t="str">
        <f aca="false">IF(NOT(Tasks[[#This Row],[_IsLeaf]]=1),"",IF(N(Tasks[[#This Row],[_Days]])&lt;=0,Tasks[[#This Row],[_LeafCalcStart]],WORKDAY.INTL(Tasks[[#This Row],[_LeafCalcStart]],Tasks[[#This Row],[_Days]]-1,WorkWeek,Holidays)))</f>
        <v/>
      </c>
      <c r="CL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8" s="42" t="str">
        <f aca="false">IF(Tasks[[#This Row],[_Predecessors]]="","",TRIM(MID(SUBSTITUTE(SUBSTITUTE(SUBSTITUTE(UPPER(Tasks[[#This Row],[_Predecessors]]),";",",")," ",""),",",REPT(" ",99)),1,99)))</f>
        <v/>
      </c>
      <c r="CO78" s="42" t="str">
        <f aca="false">IF(Tasks[[#This Row],[_Pred1Text]]="","",IFERROR(VALUE(LEFT(Tasks[[#This Row],[_Pred1Text]],MIN(FIND("F",Tasks[[#This Row],[_Pred1Text]]&amp;"F"),FIND("S",Tasks[[#This Row],[_Pred1Text]]&amp;"S"),FIND("+",Tasks[[#This Row],[_Pred1Text]]&amp;"+"),FIND("-",Tasks[[#This Row],[_Pred1Text]]&amp;"-"))-1)),""))</f>
        <v/>
      </c>
      <c r="CP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8" s="42" t="str">
        <f aca="false">IF(Tasks[[#This Row],[_Pred1Text]]="","",TRIM(MID(SUBSTITUTE(SUBSTITUTE(SUBSTITUTE(UPPER(Tasks[[#This Row],[_Predecessors]]),";",",")," ",""),",",REPT(" ",99)),100,99)))</f>
        <v/>
      </c>
      <c r="CS78" s="42" t="str">
        <f aca="false">IF(Tasks[[#This Row],[_Pred2Text]]="","",IFERROR(VALUE(LEFT(Tasks[[#This Row],[_Pred2Text]],MIN(FIND("F",Tasks[[#This Row],[_Pred2Text]]&amp;"F"),FIND("S",Tasks[[#This Row],[_Pred2Text]]&amp;"S"),FIND("+",Tasks[[#This Row],[_Pred2Text]]&amp;"+"),FIND("-",Tasks[[#This Row],[_Pred2Text]]&amp;"-"))-1)),""))</f>
        <v/>
      </c>
      <c r="CT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8" s="42" t="str">
        <f aca="false">IF(Tasks[[#This Row],[_Pred2Text]]="","",TRIM(MID(SUBSTITUTE(SUBSTITUTE(SUBSTITUTE(UPPER(Tasks[[#This Row],[_Predecessors]]),";",",")," ",""),",",REPT(" ",99)),199,99)))</f>
        <v/>
      </c>
      <c r="CW78" s="42" t="str">
        <f aca="false">IF(Tasks[[#This Row],[_Pred3Text]]="","",IFERROR(VALUE(LEFT(Tasks[[#This Row],[_Pred3Text]],MIN(FIND("F",Tasks[[#This Row],[_Pred3Text]]&amp;"F"),FIND("S",Tasks[[#This Row],[_Pred3Text]]&amp;"S"),FIND("+",Tasks[[#This Row],[_Pred3Text]]&amp;"+"),FIND("-",Tasks[[#This Row],[_Pred3Text]]&amp;"-"))-1)),""))</f>
        <v/>
      </c>
      <c r="CX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8" s="42" t="str">
        <f aca="false">IF(Tasks[[#This Row],[_Pred3Text]]="","",TRIM(MID(SUBSTITUTE(SUBSTITUTE(SUBSTITUTE(UPPER(Tasks[[#This Row],[_Predecessors]]),";",",")," ",""),",",REPT(" ",99)),298,99)))</f>
        <v/>
      </c>
      <c r="DA78" s="42" t="str">
        <f aca="false">IF(Tasks[[#This Row],[_Pred4Text]]="","",IFERROR(VALUE(LEFT(Tasks[[#This Row],[_Pred4Text]],MIN(FIND("F",Tasks[[#This Row],[_Pred4Text]]&amp;"F"),FIND("S",Tasks[[#This Row],[_Pred4Text]]&amp;"S"),FIND("+",Tasks[[#This Row],[_Pred4Text]]&amp;"+"),FIND("-",Tasks[[#This Row],[_Pred4Text]]&amp;"-"))-1)),""))</f>
        <v/>
      </c>
      <c r="DB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8" s="42" t="str">
        <f aca="false">IF(OR(Tasks[[#This Row],[Task Name]]="",Tasks[[#This Row],[_Resources]]=""),"",TRIM(MID(SUBSTITUTE(Tasks[[#This Row],[_Resources]],",",REPT(" ",99)),1,99)))</f>
        <v/>
      </c>
      <c r="DE78" s="42" t="str">
        <f aca="false">IF(Tasks[[#This Row],[_Res1Text]]="","",TRIM(MID(SUBSTITUTE(Tasks[[#This Row],[_Resources]],",",REPT(" ",99)),100,99)))</f>
        <v/>
      </c>
      <c r="DF78" s="42" t="str">
        <f aca="false">IF(Tasks[[#This Row],[_Res2Text]]="","",TRIM(MID(SUBSTITUTE(Tasks[[#This Row],[_Resources]],",",REPT(" ",99)),199,99)))</f>
        <v/>
      </c>
      <c r="DG78" s="42" t="str">
        <f aca="false">IF(Tasks[[#This Row],[_Res3Text]]="","",TRIM(MID(SUBSTITUTE(Tasks[[#This Row],[_Resources]],",",REPT(" ",99)),298,99)))</f>
        <v/>
      </c>
      <c r="DH78" s="42" t="n">
        <f aca="false">IF(Tasks[[#This Row],[_Res1Text]]="",0,IFERROR(MATCH(TRIM(LEFT(Tasks[[#This Row],[_Res1Text]],FIND("[",Tasks[[#This Row],[_Res1Text]]&amp;"[")-1)),res_Name,0),IFERROR(MATCH(TRIM(LEFT(Tasks[[#This Row],[_Res1Text]],FIND("[",Tasks[[#This Row],[_Res1Text]]&amp;"[")-1)),res_Initials,0),0)))</f>
        <v>0</v>
      </c>
      <c r="DI78" s="42" t="n">
        <f aca="false">IF(Tasks[[#This Row],[_Res2Text]]="",0,IFERROR(MATCH(TRIM(LEFT(Tasks[[#This Row],[_Res2Text]],FIND("[",Tasks[[#This Row],[_Res2Text]]&amp;"[")-1)),res_Name,0),IFERROR(MATCH(TRIM(LEFT(Tasks[[#This Row],[_Res2Text]],FIND("[",Tasks[[#This Row],[_Res2Text]]&amp;"[")-1)),res_Initials,0),0)))</f>
        <v>0</v>
      </c>
      <c r="DJ78" s="42" t="n">
        <f aca="false">IF(Tasks[[#This Row],[_Res3Text]]="",0,IFERROR(MATCH(TRIM(LEFT(Tasks[[#This Row],[_Res3Text]],FIND("[",Tasks[[#This Row],[_Res3Text]]&amp;"[")-1)),res_Name,0),IFERROR(MATCH(TRIM(LEFT(Tasks[[#This Row],[_Res3Text]],FIND("[",Tasks[[#This Row],[_Res3Text]]&amp;"[")-1)),res_Initials,0),0)))</f>
        <v>0</v>
      </c>
      <c r="DK78" s="42" t="n">
        <f aca="false">IF(Tasks[[#This Row],[_Res4Text]]="",0,IFERROR(MATCH(TRIM(LEFT(Tasks[[#This Row],[_Res4Text]],FIND("[",Tasks[[#This Row],[_Res4Text]]&amp;"[")-1)),res_Name,0),IFERROR(MATCH(TRIM(LEFT(Tasks[[#This Row],[_Res4Text]],FIND("[",Tasks[[#This Row],[_Res4Text]]&amp;"[")-1)),res_Initials,0),0)))</f>
        <v>0</v>
      </c>
      <c r="DL78" s="42" t="str">
        <f aca="false">IF(Tasks[[#This Row],[_Res1Text]]="","",IF(Tasks[[#This Row],[_Res1Row]]&gt;0,INDEX(res_Name,Tasks[[#This Row],[_Res1Row]]),TRIM(LEFT(Tasks[[#This Row],[_Res1Text]],FIND("[",Tasks[[#This Row],[_Res1Text]]&amp;"[")-1))))</f>
        <v/>
      </c>
      <c r="DM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8" s="42" t="n">
        <f aca="false">IF(NOT(Tasks[[#This Row],[_IsLeaf]]=1),0,(Tasks[[#This Row],[_Resource1]]&lt;&gt;"")+(Tasks[[#This Row],[_Res2]]&lt;&gt;"")+(Tasks[[#This Row],[_Res3]]&lt;&gt;"")+(Tasks[[#This Row],[_Res4]]&lt;&gt;""))</f>
        <v>0</v>
      </c>
      <c r="DO78" s="42" t="str">
        <f aca="false">IF(Tasks[[#This Row],[_Res2Text]]="","",IF(Tasks[[#This Row],[_Res2Row]]&gt;0,INDEX(res_Name,Tasks[[#This Row],[_Res2Row]]),TRIM(LEFT(Tasks[[#This Row],[_Res2Text]],FIND("[",Tasks[[#This Row],[_Res2Text]]&amp;"[")-1))))</f>
        <v/>
      </c>
      <c r="DP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8" s="42" t="n">
        <f aca="false">IF(OR(NOT(Tasks[[#This Row],[_IsLeaf]]=1),Tasks[[#This Row],[_Res2Row]]=0),0,N(Tasks[[#This Row],[_Days]])*HoursPerDay*IF(Tasks[[#This Row],[_Res2Units]]="",DefaultUnits,Tasks[[#This Row],[_Res2Units]]))</f>
        <v>0</v>
      </c>
      <c r="DR78" s="42" t="n">
        <f aca="false">IF(AND(AND(Tasks[[#This Row],[_IsLeaf]]=1,Tasks[[#This Row],[_LeafTotalWork]]&gt;0),Tasks[[#This Row],[_Res2Work]]&gt;0),Tasks[[#This Row],[_Res2Work]]/(Tasks[[#This Row],[_FinishWorkday]]-Tasks[[#This Row],[_StartWorkday]]+1),0)</f>
        <v>0</v>
      </c>
      <c r="DS78" s="42" t="n">
        <f aca="false">Tasks[[#This Row],[_Res2WorkPerWD]]*MAX(0,Tasks[[#This Row],[_StartWorkday]]-1)</f>
        <v>0</v>
      </c>
      <c r="DT78" s="42" t="n">
        <f aca="false">Tasks[[#This Row],[_Res2Work]]*Tasks[[#This Row],[_LeafProgress]]</f>
        <v>0</v>
      </c>
      <c r="DU78" s="42" t="str">
        <f aca="false">IF(Tasks[[#This Row],[_Res3Text]]="","",IF(Tasks[[#This Row],[_Res3Row]]&gt;0,INDEX(res_Name,Tasks[[#This Row],[_Res3Row]]),TRIM(LEFT(Tasks[[#This Row],[_Res3Text]],FIND("[",Tasks[[#This Row],[_Res3Text]]&amp;"[")-1))))</f>
        <v/>
      </c>
      <c r="DV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8" s="42" t="n">
        <f aca="false">IF(OR(NOT(Tasks[[#This Row],[_IsLeaf]]=1),Tasks[[#This Row],[_Res3Row]]=0),0,N(Tasks[[#This Row],[_Days]])*HoursPerDay*IF(Tasks[[#This Row],[_Res3Units]]="",DefaultUnits,Tasks[[#This Row],[_Res3Units]]))</f>
        <v>0</v>
      </c>
      <c r="DX78" s="42" t="n">
        <f aca="false">IF(AND(AND(Tasks[[#This Row],[_IsLeaf]]=1,Tasks[[#This Row],[_LeafTotalWork]]&gt;0),Tasks[[#This Row],[_Res3Work]]&gt;0),Tasks[[#This Row],[_Res3Work]]/(Tasks[[#This Row],[_FinishWorkday]]-Tasks[[#This Row],[_StartWorkday]]+1),0)</f>
        <v>0</v>
      </c>
      <c r="DY78" s="42" t="n">
        <f aca="false">Tasks[[#This Row],[_Res3WorkPerWD]]*MAX(0,Tasks[[#This Row],[_StartWorkday]]-1)</f>
        <v>0</v>
      </c>
      <c r="DZ78" s="42" t="n">
        <f aca="false">Tasks[[#This Row],[_Res3Work]]*Tasks[[#This Row],[_LeafProgress]]</f>
        <v>0</v>
      </c>
      <c r="EA78" s="42" t="str">
        <f aca="false">IF(Tasks[[#This Row],[_Res4Text]]="","",IF(Tasks[[#This Row],[_Res4Row]]&gt;0,INDEX(res_Name,Tasks[[#This Row],[_Res4Row]]),TRIM(LEFT(Tasks[[#This Row],[_Res4Text]],FIND("[",Tasks[[#This Row],[_Res4Text]]&amp;"[")-1))))</f>
        <v/>
      </c>
      <c r="EB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8" s="42" t="n">
        <f aca="false">IF(OR(NOT(Tasks[[#This Row],[_IsLeaf]]=1),Tasks[[#This Row],[_Res4Row]]=0),0,N(Tasks[[#This Row],[_Days]])*HoursPerDay*IF(Tasks[[#This Row],[_Res4Units]]="",DefaultUnits,Tasks[[#This Row],[_Res4Units]]))</f>
        <v>0</v>
      </c>
      <c r="ED78" s="42" t="n">
        <f aca="false">IF(AND(AND(Tasks[[#This Row],[_IsLeaf]]=1,Tasks[[#This Row],[_LeafTotalWork]]&gt;0),Tasks[[#This Row],[_Res4Work]]&gt;0),Tasks[[#This Row],[_Res4Work]]/(Tasks[[#This Row],[_FinishWorkday]]-Tasks[[#This Row],[_StartWorkday]]+1),0)</f>
        <v>0</v>
      </c>
      <c r="EE78" s="42" t="n">
        <f aca="false">Tasks[[#This Row],[_Res4WorkPerWD]]*MAX(0,Tasks[[#This Row],[_StartWorkday]]-1)</f>
        <v>0</v>
      </c>
      <c r="EF78" s="42" t="n">
        <f aca="false">Tasks[[#This Row],[_Res4Work]]*Tasks[[#This Row],[_LeafProgress]]</f>
        <v>0</v>
      </c>
      <c r="EG78" s="42" t="n">
        <f aca="false">IF(ISNUMBER(Tasks[[#This Row],[% Complete]]),Tasks[[#This Row],[% Complete]],IF(Tasks[[#This Row],[Stage]]="",0,IFERROR(INDEX(stg_Pct,MATCH(Tasks[[#This Row],[Stage]],stg_Name,0)),0)))</f>
        <v>0</v>
      </c>
      <c r="EH78" s="42" t="n">
        <f aca="false">IF(NOT(Tasks[[#This Row],[_IsLeaf]]=1),0,IF(N(Tasks[[#This Row],[Actual Finish]])&gt;0,1,MIN(1,Tasks[[#This Row],[_Pct]])))</f>
        <v>0</v>
      </c>
      <c r="EI78" s="42" t="n">
        <f aca="false">IF(OR(NOT(Tasks[[#This Row],[_IsLeaf]]=1),Tasks[[#This Row],[_Res1Row]]=0),0,N(Tasks[[#This Row],[_Days]])*HoursPerDay*IF(Tasks[[#This Row],[_Units1]]="",DefaultUnits,Tasks[[#This Row],[_Units1]]))</f>
        <v>0</v>
      </c>
      <c r="EJ78" s="42" t="n">
        <f aca="false">Tasks[[#This Row],[_LeafWork]]+Tasks[[#This Row],[_Res2Work]]+Tasks[[#This Row],[_Res3Work]]+Tasks[[#This Row],[_Res4Work]]</f>
        <v>0</v>
      </c>
      <c r="EK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8" s="42" t="n">
        <f aca="false">IF(NOT(Tasks[[#This Row],[_IsLeaf]]=1),0,MAX(_xlfn.MAXIFS(Tasks[_Row],Tasks[_Pred1UID],Tasks[[#This Row],[UID]]),_xlfn.MAXIFS(Tasks[_Row],Tasks[_Pred2UID],Tasks[[#This Row],[UID]]),_xlfn.MAXIFS(Tasks[_Row],Tasks[_Pred3UID],Tasks[[#This Row],[UID]]),_xlfn.MAXIFS(Tasks[_Row],Tasks[_Pred4UID],Tasks[[#This Row],[UID]])))</f>
        <v>0</v>
      </c>
      <c r="ET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8" s="89" t="str">
        <f aca="false">IF(NOT(Tasks[[#This Row],[_IsLeaf]]=1),"",IF(N(Tasks[[#This Row],[_Days]])&lt;=0,Tasks[[#This Row],[_LeafLateFinish]],WORKDAY.INTL(Tasks[[#This Row],[_LeafLateFinish]],-(Tasks[[#This Row],[_Days]]-1),WorkWeek,Holidays)))</f>
        <v/>
      </c>
      <c r="EW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8" s="88" t="b">
        <f aca="false">AND(Tasks[[#This Row],[_IsLeaf]]=1,Tasks[[#This Row],[_LeafProgress]]&lt;1,N(Tasks[[#This Row],[_LeafTotalSlack]])&lt;=CriticalSlackDays)</f>
        <v>0</v>
      </c>
      <c r="EY78" s="42" t="n">
        <f aca="false">IF(AND(Tasks[[#This Row],[_IsLeaf]]=1,Tasks[[#This Row],[_ConstraintCode]]=1,Tasks[[#This Row],[Mode]]&lt;&gt;"Manual",N(Tasks[[#This Row],[Actual Start]])=0),MAX(0,N(Tasks[[#This Row],[Free Slack]])),0)</f>
        <v>0</v>
      </c>
      <c r="EZ78" s="89" t="str">
        <f aca="false">IF(NOT(Tasks[[#This Row],[_IsLeaf]]=1),"",IF(Tasks[[#This Row],[_AlapShift]]=0,Tasks[[#This Row],[_LeafCalcStart]],WORKDAY.INTL(Tasks[[#This Row],[_LeafCalcStart]],Tasks[[#This Row],[_AlapShift]],WorkWeek,Holidays)))</f>
        <v/>
      </c>
      <c r="FA78" s="89" t="str">
        <f aca="false">IF(NOT(Tasks[[#This Row],[_IsLeaf]]=1),"",IF(Tasks[[#This Row],[_AlapShift]]=0,Tasks[[#This Row],[_LeafCalcFinish]],WORKDAY.INTL(Tasks[[#This Row],[_LeafCalcFinish]],Tasks[[#This Row],[_AlapShift]],WorkWeek,Holidays)))</f>
        <v/>
      </c>
      <c r="FB78" s="89" t="str">
        <f aca="false">IF(NOT(Tasks[[#This Row],[_IsLeaf]]=1),"",IF(Tasks[[#This Row],[_AlapShift]]=0,Tasks[[#This Row],[_LeafFcstStart]],WORKDAY.INTL(Tasks[[#This Row],[_LeafFcstStart]],Tasks[[#This Row],[_AlapShift]],WorkWeek,Holidays)))</f>
        <v/>
      </c>
      <c r="FC78" s="89" t="str">
        <f aca="false">IF(NOT(Tasks[[#This Row],[_IsLeaf]]=1),"",IF(Tasks[[#This Row],[_AlapShift]]=0,Tasks[[#This Row],[_LeafFcstFinish]],WORKDAY.INTL(Tasks[[#This Row],[_LeafFcstFinish]],Tasks[[#This Row],[_AlapShift]],WorkWeek,Holidays)))</f>
        <v/>
      </c>
      <c r="FD78" s="89" t="str">
        <f aca="false">IF(Tasks[[#This Row],[Task Name]]="","",IF(Tasks[[#This Row],[_IsSummary]],MIN(INDEX(Tasks[_ShownCalcStart],Tasks[[#This Row],[_Row]]+1):INDEX(Tasks[_ShownCalcStart],Tasks[[#This Row],[_Row]]+Tasks[[#This Row],[_Descendants]])),Tasks[[#This Row],[_ShownCalcStart]]))</f>
        <v/>
      </c>
      <c r="FE78" s="89" t="str">
        <f aca="false">IF(Tasks[[#This Row],[Task Name]]="","",IF(Tasks[[#This Row],[_IsSummary]],MAX(INDEX(Tasks[_ShownCalcFinish],Tasks[[#This Row],[_Row]]+1):INDEX(Tasks[_ShownCalcFinish],Tasks[[#This Row],[_Row]]+Tasks[[#This Row],[_Descendants]])),Tasks[[#This Row],[_ShownCalcFinish]]))</f>
        <v/>
      </c>
      <c r="FF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8" s="42" t="n">
        <f aca="false">IF(AND(Tasks[[#This Row],[_IsLeaf]]=1,Tasks[[#This Row],[_LeafTotalWork]]&gt;0),NETWORKDAYS.INTL(ProjectStart,Tasks[[#This Row],[_ShownFcstStart]],WorkWeek,Holidays),0)</f>
        <v>0</v>
      </c>
      <c r="FS78" s="42" t="n">
        <f aca="false">IF(AND(Tasks[[#This Row],[_IsLeaf]]=1,Tasks[[#This Row],[_LeafTotalWork]]&gt;0),MAX(Tasks[[#This Row],[_StartWorkday]],NETWORKDAYS.INTL(ProjectStart,Tasks[[#This Row],[_ShownFcstFinish]],WorkWeek,Holidays)),0)</f>
        <v>0</v>
      </c>
      <c r="FT78" s="42" t="n">
        <f aca="false">IF(AND(Tasks[[#This Row],[_IsLeaf]]=1,Tasks[[#This Row],[_LeafTotalWork]]&gt;0),Tasks[[#This Row],[_LeafWork]]/(Tasks[[#This Row],[_FinishWorkday]]-Tasks[[#This Row],[_StartWorkday]]+1),0)</f>
        <v>0</v>
      </c>
      <c r="FU78" s="42" t="n">
        <f aca="false">Tasks[[#This Row],[_WorkPerWorkday]]*(Tasks[[#This Row],[_StartWorkday]]-1)</f>
        <v>-0</v>
      </c>
      <c r="FV78" s="42" t="n">
        <f aca="false">IF(Tasks[[#This Row],[_IsLeaf]]=1,MAX(N(Tasks[[#This Row],[_Days]]),0.1),0)</f>
        <v>0</v>
      </c>
      <c r="FW78" s="42" t="n">
        <f aca="false">Tasks[[#This Row],[_WeightDur]]*Tasks[[#This Row],[_LeafProgress]]</f>
        <v>0</v>
      </c>
      <c r="FX78" s="42" t="n">
        <f aca="false">Tasks[[#This Row],[_WeightDur]]*Tasks[[#This Row],[_PlannedPct]]</f>
        <v>0</v>
      </c>
      <c r="FY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8" s="42" t="str">
        <f aca="false">IF(AND(Tasks[[#This Row],[_IsLeaf]]=1,N(Tasks[[#This Row],[_Days]])=0,Tasks[[#This Row],[_LeafProgress]]&lt;1),Tasks[[#This Row],[_ShownFcstFinish]]+Tasks[[#This Row],[_Row]]/100000,"")</f>
        <v/>
      </c>
      <c r="GA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8" s="42" t="str">
        <f aca="false">IF(Tasks[[#This Row],[Task Name]]="","",LEFT(Tasks[[#This Row],[WBS]],FIND(".",Tasks[[#This Row],[WBS]]&amp;".")-1))</f>
        <v/>
      </c>
      <c r="GC78" s="42" t="str">
        <f aca="false">IF(AND(Tasks[[#This Row],[Task Name]]&lt;&gt;"",Tasks[[#This Row],[_Level]]=1),Tasks[[#This Row],[_Row]],"")</f>
        <v/>
      </c>
      <c r="GD78" s="42" t="str">
        <f aca="false">IF(AND(Tasks[[#This Row],[_IsLeaf]]=1,N(Tasks[[#This Row],[_Days]])=0),Tasks[[#This Row],[Planned Finish]]+Tasks[[#This Row],[_Row]]/100000,"")</f>
        <v/>
      </c>
      <c r="GE78" s="42" t="str">
        <f aca="false">IF(AND(Tasks[[#This Row],[_IsLeaf]]=1,Tasks[[#This Row],[_LeafProgress]]&lt;1,OR(N(Tasks[[#This Row],[Finish Var]])&gt;0,Tasks[[#This Row],[Status]]="Late Start")),MAX(0,Tasks[[#This Row],[Finish Var]])+1-Tasks[[#This Row],[_Row]]/1000000,"")</f>
        <v/>
      </c>
      <c r="GF78" s="42" t="str">
        <f aca="false">IF(AND(Tasks[[#This Row],[_IsLeaf]]=1,N(Tasks[[#This Row],[Actual Start]])=0,Tasks[[#This Row],[_ShownFcstStart]]&gt;=StatusDate,Tasks[[#This Row],[_ShownFcstStart]]&lt;=LookaheadEnd),Tasks[[#This Row],[_ShownFcstStart]]+Tasks[[#This Row],[_Row]]/100000,"")</f>
        <v/>
      </c>
      <c r="GG78" s="42" t="str">
        <f aca="false">IF(AND(Tasks[[#This Row],[_IsLeaf]]=1,Tasks[[#This Row],[_LeafProgress]]&lt;1,Tasks[[#This Row],[_ShownFcstFinish]]&gt;=StatusDate,Tasks[[#This Row],[_ShownFcstFinish]]&lt;=LookaheadEnd),Tasks[[#This Row],[_ShownFcstFinish]]+Tasks[[#This Row],[_Row]]/100000,"")</f>
        <v/>
      </c>
      <c r="GH78" s="42" t="str">
        <f aca="false">IF(Tasks[[#This Row],[_LeafCritical]],Tasks[[#This Row],[_ShownFcstStart]]+Tasks[[#This Row],[_Row]]/100000,"")</f>
        <v/>
      </c>
      <c r="GI78" s="42" t="n">
        <f aca="false">Tasks[[#This Row],[_LeafWork]]*Tasks[[#This Row],[_LeafProgress]]</f>
        <v>0</v>
      </c>
      <c r="GJ78" s="89" t="str">
        <f aca="false">IF(AND(Tasks[[#This Row],[_IsLeaf]]=1,Tasks[[#This Row],[_LeafProgress]]&gt;=1),IF(N(Tasks[[#This Row],[Actual Finish]])&gt;0,Tasks[[#This Row],[Actual Finish]],Tasks[[#This Row],[_ShownFcstFinish]]),"")</f>
        <v/>
      </c>
      <c r="GK78" s="42" t="n">
        <f aca="false">IF(Tasks[[#This Row],[_IsLeaf]]=1,N(Tasks[[#This Row],[Story Points]]),0)</f>
        <v>0</v>
      </c>
      <c r="GL78" s="42" t="str">
        <f aca="false">""</f>
        <v/>
      </c>
      <c r="GM78" s="88" t="b">
        <f aca="false">IF(Tasks[[#This Row],[Task Name]]="",FALSE(),AND(Tasks[[#This Row],[_IsLeaf]]=1,N(Tasks[[#This Row],[_Days]])=0))</f>
        <v>0</v>
      </c>
      <c r="GN78" s="89" t="n">
        <f aca="false">IF(Tasks[[#This Row],[Task Name]]="",0,IF(AND(Tasks[[#This Row],[_IsLeaf]]=1,NOT(Tasks[[#This Row],[_IsMilestone]]),N(Tasks[[#This Row],[Progress]])&gt;0),Tasks[[#This Row],[Start]],0))</f>
        <v>0</v>
      </c>
      <c r="GO78" s="89" t="n">
        <f aca="false">IF(Tasks[[#This Row],[_DoneFrom]]=0,0,IF(Tasks[[#This Row],[Progress]]&gt;=1,Tasks[[#This Row],[Finish]],MAX(Tasks[[#This Row],[_DoneFrom]],Tasks[[#This Row],[Start]]+ROUND((Tasks[[#This Row],[Finish]]-Tasks[[#This Row],[Start]]+1)*Tasks[[#This Row],[Progress]],0)-1)))</f>
        <v>0</v>
      </c>
      <c r="GP78" s="89" t="n">
        <f aca="false">IF(Tasks[[#This Row],[Task Name]]="",0,IF(OR(NOT(Tasks[[#This Row],[_IsLeaf]]=1),Tasks[[#This Row],[_IsMilestone]],N(Tasks[[#This Row],[Progress]])&gt;=1),0,IF(Tasks[[#This Row],[_DoneTo]]&gt;0,Tasks[[#This Row],[_DoneTo]]+1,Tasks[[#This Row],[Start]])))</f>
        <v>0</v>
      </c>
      <c r="GQ78" s="89" t="n">
        <f aca="false">IF(Tasks[[#This Row],[_RemFrom]]=0,0,Tasks[[#This Row],[Finish]])</f>
        <v>0</v>
      </c>
      <c r="GR78" s="88" t="b">
        <f aca="false">IF(Tasks[[#This Row],[Task Name]]="",FALSE(),OR(NOT(BaselineSet),N(Tasks[[#This Row],[Baseline Start]])&gt;0))</f>
        <v>0</v>
      </c>
      <c r="GS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8" s="90" t="str">
        <f aca="false">IF(Tasks[[#This Row],[_IsLeaf]]=1,Tasks[[#This Row],[_Row]],"")</f>
        <v/>
      </c>
      <c r="GW78" s="90" t="str">
        <f aca="false">IFERROR(INDEX(Tasks[UID],SMALL(Tasks[_PickKey],Tasks[[#This Row],[_Row]]))&amp;" "&amp;INDEX(Tasks[Task Name],SMALL(Tasks[_PickKey],Tasks[[#This Row],[_Row]])),"")</f>
        <v/>
      </c>
      <c r="GX78" s="42" t="str">
        <f aca="false">IF(Tasks[[#This Row],[Task Name]]="","",IF(Tasks[[#This Row],[_IsSummary]],NETWORKDAYS.INTL(Tasks[[#This Row],[Start]],Tasks[[#This Row],[Finish]],WorkWeek,Holidays),N(Tasks[[#This Row],[_Days]])))</f>
        <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3"/>
      <c r="U79" s="23"/>
      <c r="V79" s="83"/>
      <c r="W79" s="23"/>
      <c r="X79" s="83"/>
      <c r="Y79" s="23"/>
      <c r="Z79" s="83"/>
      <c r="AA79" s="23"/>
      <c r="AB79" s="23"/>
      <c r="AC79" s="7"/>
      <c r="AD79" s="7"/>
      <c r="AE79" s="62" t="str">
        <f aca="false">IF(Tasks[[#This Row],[Task Name]]="","",IF(Tasks[[#This Row],[_IsSummary]],MIN(INDEX(Tasks[_ShownFcstStart],Tasks[[#This Row],[_Row]]+1):INDEX(Tasks[_ShownFcstStart],Tasks[[#This Row],[_Row]]+Tasks[[#This Row],[_Descendants]])),Tasks[[#This Row],[_ShownFcstStart]]))</f>
        <v/>
      </c>
      <c r="AF79" s="62"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9" s="7"/>
      <c r="AK79" s="22"/>
      <c r="AL79" s="23"/>
      <c r="AM79" s="7"/>
      <c r="AN79" s="46"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2" t="str">
        <f aca="false">IF(Tasks[[#This Row],[Task Name]]="","",IF(N(Tasks[[#This Row],[Baseline Start]])&gt;0,Tasks[[#This Row],[Baseline Start]],Tasks[[#This Row],[_CalcStart]]))</f>
        <v/>
      </c>
      <c r="AR79" s="62" t="str">
        <f aca="false">IF(Tasks[[#This Row],[Task Name]]="","",IF(N(Tasks[[#This Row],[Baseline Finish]])&gt;0,Tasks[[#This Row],[Baseline Finish]],Tasks[[#This Row],[_CalcFinish]]))</f>
        <v/>
      </c>
      <c r="AS79" s="46" t="str">
        <f aca="false">IF(Tasks[[#This Row],[Task Name]]="","",IF(Tasks[[#This Row],[Start]]&gt;=Tasks[[#This Row],[Planned Start]],NETWORKDAYS.INTL(Tasks[[#This Row],[Planned Start]],Tasks[[#This Row],[Start]],WorkWeek,Holidays)-1,1-NETWORKDAYS.INTL(Tasks[[#This Row],[Start]],Tasks[[#This Row],[Planned Start]],WorkWeek,Holidays)))</f>
        <v/>
      </c>
      <c r="AT79" s="62" t="str">
        <f aca="false">IF(Tasks[[#This Row],[Task Name]]="","",IF(Tasks[[#This Row],[_IsSummary]],MIN(INDEX(Tasks[_LeafLateStart],Tasks[[#This Row],[_Row]]+1):INDEX(Tasks[_LeafLateStart],Tasks[[#This Row],[_Row]]+Tasks[[#This Row],[_Descendants]])),Tasks[[#This Row],[_LeafLateStart]]))</f>
        <v/>
      </c>
      <c r="AU79" s="62" t="str">
        <f aca="false">IF(Tasks[[#This Row],[Task Name]]="","",IF(Tasks[[#This Row],[_IsSummary]],MAX(INDEX(Tasks[_LeafLateFinish],Tasks[[#This Row],[_Row]]+1):INDEX(Tasks[_LeafLateFinish],Tasks[[#This Row],[_Row]]+Tasks[[#This Row],[_Descendants]])),Tasks[[#This Row],[_LeafLateFinish]]))</f>
        <v/>
      </c>
      <c r="AV79" s="46"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4"/>
      <c r="BA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5"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6"/>
      <c r="BJ79" s="22"/>
      <c r="BK79" s="46" t="str">
        <f aca="false">IF(OR(Tasks[[#This Row],[Task Name]]="",Tasks[[#This Row],[Baseline Duration]]=""),"",Tasks[[#This Row],[_SpanDays]]-N(Tasks[[#This Row],[Baseline Duration]]))</f>
        <v/>
      </c>
      <c r="BL79" s="85" t="str">
        <f aca="false">IF(OR(Tasks[[#This Row],[Task Name]]="",Tasks[[#This Row],[Baseline Work]]=""),"",Tasks[[#This Row],[Work]]-N(Tasks[[#This Row],[Baseline Work]]))</f>
        <v/>
      </c>
      <c r="BM79" s="62" t="str">
        <f aca="false">IF(Tasks[[#This Row],[Task Name]]="","",IF(OR(TakeBaseline="Yes",N(Tasks[[#This Row],[Baseline Start]])=0),Tasks[[#This Row],[Start]],Tasks[[#This Row],[Baseline Start]]))</f>
        <v/>
      </c>
      <c r="BN79" s="62"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5" t="str">
        <f aca="false">IF(Tasks[[#This Row],[Task Name]]="","",IF(OR(TakeBaseline="Yes",N(Tasks[[#This Row],[Baseline Work]])=0),Tasks[[#This Row],[Work]],Tasks[[#This Row],[Baseline Work]]))</f>
        <v/>
      </c>
      <c r="BQ79" s="7"/>
      <c r="BR79" s="7"/>
      <c r="BS79" s="22"/>
      <c r="BT79" s="87"/>
      <c r="BU79" s="42" t="str">
        <f aca="false">IF(Tasks[[#This Row],[Task Name]]="","",MAX(1,N(Tasks[[#This Row],[Level]])))</f>
        <v/>
      </c>
      <c r="BV79" s="42" t="n">
        <f aca="false">ROW()-ROW(Tasks[[#Headers],[ID]])</f>
        <v>74</v>
      </c>
      <c r="BW79" s="42" t="n">
        <f aca="false">IF(OR(Tasks[[#This Row],[Task Name]]="",Tasks[[#This Row],[_Level]]&lt;=1),0,IFERROR(LOOKUP(2,1/(Tasks[[#Headers],[_Level]]:Tasks[[#This Row],[_Level]]=Tasks[[#This Row],[_Level]]-1),ROW(Tasks[[#Headers],[_Level]]:Tasks[[#This Row],[_Level]])),0))</f>
        <v>0</v>
      </c>
      <c r="BX79" s="42" t="n">
        <f aca="false">IFERROR(N(INDEX(Tasks[_Level],Tasks[[#This Row],[_Row]]+1)),0)</f>
        <v>0</v>
      </c>
      <c r="BY79" s="88" t="b">
        <f aca="false">AND(Tasks[[#This Row],[Task Name]]&lt;&gt;"",Tasks[[#This Row],[_NextLevel]]&gt;Tasks[[#This Row],[_Level]])</f>
        <v>0</v>
      </c>
      <c r="BZ79" s="42" t="n">
        <f aca="false">IF(Tasks[[#This Row],[_IsSummary]],COUNTIF(Tasks[WBS],Tasks[[#This Row],[WBS]]&amp;".*"),0)</f>
        <v>0</v>
      </c>
      <c r="CA79" s="42" t="n">
        <f aca="false">IF(AND(Tasks[[#This Row],[Task Name]]&lt;&gt;"",NOT(Tasks[[#This Row],[_IsSummary]])),1,0)</f>
        <v>0</v>
      </c>
      <c r="CB79" s="42" t="n">
        <f aca="false">IF(N(Tasks[[#This Row],[_Pred1UID]])=0,0,IFERROR(MATCH(Tasks[[#This Row],[_Pred1UID]],Tasks[UID],0),-1))</f>
        <v>0</v>
      </c>
      <c r="CC79" s="42" t="n">
        <f aca="false">IF(N(Tasks[[#This Row],[_Pred2UID]])=0,0,IFERROR(MATCH(Tasks[[#This Row],[_Pred2UID]],Tasks[UID],0),-1))</f>
        <v>0</v>
      </c>
      <c r="CD79" s="42" t="n">
        <f aca="false">IF(N(Tasks[[#This Row],[_Pred3UID]])=0,0,IFERROR(MATCH(Tasks[[#This Row],[_Pred3UID]],Tasks[UID],0),-1))</f>
        <v>0</v>
      </c>
      <c r="CE79" s="42" t="n">
        <f aca="false">IF(N(Tasks[[#This Row],[_Pred4UID]])=0,0,IFERROR(MATCH(Tasks[[#This Row],[_Pred4UID]],Tasks[UID],0),-1))</f>
        <v>0</v>
      </c>
      <c r="CF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9" s="89" t="n">
        <f aca="false">IF(OR(Tasks[[#This Row],[_ConstraintCode]]=2,Tasks[[#This Row],[_ConstraintCode]]=3,Tasks[[#This Row],[_ConstraintCode]]=4,Tasks[[#This Row],[_ConstraintCode]]=6),Tasks[[#This Row],[_ConstraintStart]],0)</f>
        <v>0</v>
      </c>
      <c r="CI79" s="89" t="n">
        <f aca="false">IF(OR(Tasks[[#This Row],[_ConstraintCode]]=2,Tasks[[#This Row],[_ConstraintCode]]=3,Tasks[[#This Row],[_ConstraintCode]]=5,Tasks[[#This Row],[_ConstraintCode]]=7),Tasks[[#This Row],[_ConstraintStart]],2958465)</f>
        <v>2958465</v>
      </c>
      <c r="CJ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9" s="89" t="str">
        <f aca="false">IF(NOT(Tasks[[#This Row],[_IsLeaf]]=1),"",IF(N(Tasks[[#This Row],[_Days]])&lt;=0,Tasks[[#This Row],[_LeafCalcStart]],WORKDAY.INTL(Tasks[[#This Row],[_LeafCalcStart]],Tasks[[#This Row],[_Days]]-1,WorkWeek,Holidays)))</f>
        <v/>
      </c>
      <c r="CL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9" s="42" t="str">
        <f aca="false">IF(Tasks[[#This Row],[_Predecessors]]="","",TRIM(MID(SUBSTITUTE(SUBSTITUTE(SUBSTITUTE(UPPER(Tasks[[#This Row],[_Predecessors]]),";",",")," ",""),",",REPT(" ",99)),1,99)))</f>
        <v/>
      </c>
      <c r="CO79" s="42" t="str">
        <f aca="false">IF(Tasks[[#This Row],[_Pred1Text]]="","",IFERROR(VALUE(LEFT(Tasks[[#This Row],[_Pred1Text]],MIN(FIND("F",Tasks[[#This Row],[_Pred1Text]]&amp;"F"),FIND("S",Tasks[[#This Row],[_Pred1Text]]&amp;"S"),FIND("+",Tasks[[#This Row],[_Pred1Text]]&amp;"+"),FIND("-",Tasks[[#This Row],[_Pred1Text]]&amp;"-"))-1)),""))</f>
        <v/>
      </c>
      <c r="CP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9" s="42" t="str">
        <f aca="false">IF(Tasks[[#This Row],[_Pred1Text]]="","",TRIM(MID(SUBSTITUTE(SUBSTITUTE(SUBSTITUTE(UPPER(Tasks[[#This Row],[_Predecessors]]),";",",")," ",""),",",REPT(" ",99)),100,99)))</f>
        <v/>
      </c>
      <c r="CS79" s="42" t="str">
        <f aca="false">IF(Tasks[[#This Row],[_Pred2Text]]="","",IFERROR(VALUE(LEFT(Tasks[[#This Row],[_Pred2Text]],MIN(FIND("F",Tasks[[#This Row],[_Pred2Text]]&amp;"F"),FIND("S",Tasks[[#This Row],[_Pred2Text]]&amp;"S"),FIND("+",Tasks[[#This Row],[_Pred2Text]]&amp;"+"),FIND("-",Tasks[[#This Row],[_Pred2Text]]&amp;"-"))-1)),""))</f>
        <v/>
      </c>
      <c r="CT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9" s="42" t="str">
        <f aca="false">IF(Tasks[[#This Row],[_Pred2Text]]="","",TRIM(MID(SUBSTITUTE(SUBSTITUTE(SUBSTITUTE(UPPER(Tasks[[#This Row],[_Predecessors]]),";",",")," ",""),",",REPT(" ",99)),199,99)))</f>
        <v/>
      </c>
      <c r="CW79" s="42" t="str">
        <f aca="false">IF(Tasks[[#This Row],[_Pred3Text]]="","",IFERROR(VALUE(LEFT(Tasks[[#This Row],[_Pred3Text]],MIN(FIND("F",Tasks[[#This Row],[_Pred3Text]]&amp;"F"),FIND("S",Tasks[[#This Row],[_Pred3Text]]&amp;"S"),FIND("+",Tasks[[#This Row],[_Pred3Text]]&amp;"+"),FIND("-",Tasks[[#This Row],[_Pred3Text]]&amp;"-"))-1)),""))</f>
        <v/>
      </c>
      <c r="CX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9" s="42" t="str">
        <f aca="false">IF(Tasks[[#This Row],[_Pred3Text]]="","",TRIM(MID(SUBSTITUTE(SUBSTITUTE(SUBSTITUTE(UPPER(Tasks[[#This Row],[_Predecessors]]),";",",")," ",""),",",REPT(" ",99)),298,99)))</f>
        <v/>
      </c>
      <c r="DA79" s="42" t="str">
        <f aca="false">IF(Tasks[[#This Row],[_Pred4Text]]="","",IFERROR(VALUE(LEFT(Tasks[[#This Row],[_Pred4Text]],MIN(FIND("F",Tasks[[#This Row],[_Pred4Text]]&amp;"F"),FIND("S",Tasks[[#This Row],[_Pred4Text]]&amp;"S"),FIND("+",Tasks[[#This Row],[_Pred4Text]]&amp;"+"),FIND("-",Tasks[[#This Row],[_Pred4Text]]&amp;"-"))-1)),""))</f>
        <v/>
      </c>
      <c r="DB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9" s="42" t="str">
        <f aca="false">IF(OR(Tasks[[#This Row],[Task Name]]="",Tasks[[#This Row],[_Resources]]=""),"",TRIM(MID(SUBSTITUTE(Tasks[[#This Row],[_Resources]],",",REPT(" ",99)),1,99)))</f>
        <v/>
      </c>
      <c r="DE79" s="42" t="str">
        <f aca="false">IF(Tasks[[#This Row],[_Res1Text]]="","",TRIM(MID(SUBSTITUTE(Tasks[[#This Row],[_Resources]],",",REPT(" ",99)),100,99)))</f>
        <v/>
      </c>
      <c r="DF79" s="42" t="str">
        <f aca="false">IF(Tasks[[#This Row],[_Res2Text]]="","",TRIM(MID(SUBSTITUTE(Tasks[[#This Row],[_Resources]],",",REPT(" ",99)),199,99)))</f>
        <v/>
      </c>
      <c r="DG79" s="42" t="str">
        <f aca="false">IF(Tasks[[#This Row],[_Res3Text]]="","",TRIM(MID(SUBSTITUTE(Tasks[[#This Row],[_Resources]],",",REPT(" ",99)),298,99)))</f>
        <v/>
      </c>
      <c r="DH79" s="42" t="n">
        <f aca="false">IF(Tasks[[#This Row],[_Res1Text]]="",0,IFERROR(MATCH(TRIM(LEFT(Tasks[[#This Row],[_Res1Text]],FIND("[",Tasks[[#This Row],[_Res1Text]]&amp;"[")-1)),res_Name,0),IFERROR(MATCH(TRIM(LEFT(Tasks[[#This Row],[_Res1Text]],FIND("[",Tasks[[#This Row],[_Res1Text]]&amp;"[")-1)),res_Initials,0),0)))</f>
        <v>0</v>
      </c>
      <c r="DI79" s="42" t="n">
        <f aca="false">IF(Tasks[[#This Row],[_Res2Text]]="",0,IFERROR(MATCH(TRIM(LEFT(Tasks[[#This Row],[_Res2Text]],FIND("[",Tasks[[#This Row],[_Res2Text]]&amp;"[")-1)),res_Name,0),IFERROR(MATCH(TRIM(LEFT(Tasks[[#This Row],[_Res2Text]],FIND("[",Tasks[[#This Row],[_Res2Text]]&amp;"[")-1)),res_Initials,0),0)))</f>
        <v>0</v>
      </c>
      <c r="DJ79" s="42" t="n">
        <f aca="false">IF(Tasks[[#This Row],[_Res3Text]]="",0,IFERROR(MATCH(TRIM(LEFT(Tasks[[#This Row],[_Res3Text]],FIND("[",Tasks[[#This Row],[_Res3Text]]&amp;"[")-1)),res_Name,0),IFERROR(MATCH(TRIM(LEFT(Tasks[[#This Row],[_Res3Text]],FIND("[",Tasks[[#This Row],[_Res3Text]]&amp;"[")-1)),res_Initials,0),0)))</f>
        <v>0</v>
      </c>
      <c r="DK79" s="42" t="n">
        <f aca="false">IF(Tasks[[#This Row],[_Res4Text]]="",0,IFERROR(MATCH(TRIM(LEFT(Tasks[[#This Row],[_Res4Text]],FIND("[",Tasks[[#This Row],[_Res4Text]]&amp;"[")-1)),res_Name,0),IFERROR(MATCH(TRIM(LEFT(Tasks[[#This Row],[_Res4Text]],FIND("[",Tasks[[#This Row],[_Res4Text]]&amp;"[")-1)),res_Initials,0),0)))</f>
        <v>0</v>
      </c>
      <c r="DL79" s="42" t="str">
        <f aca="false">IF(Tasks[[#This Row],[_Res1Text]]="","",IF(Tasks[[#This Row],[_Res1Row]]&gt;0,INDEX(res_Name,Tasks[[#This Row],[_Res1Row]]),TRIM(LEFT(Tasks[[#This Row],[_Res1Text]],FIND("[",Tasks[[#This Row],[_Res1Text]]&amp;"[")-1))))</f>
        <v/>
      </c>
      <c r="DM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9" s="42" t="n">
        <f aca="false">IF(NOT(Tasks[[#This Row],[_IsLeaf]]=1),0,(Tasks[[#This Row],[_Resource1]]&lt;&gt;"")+(Tasks[[#This Row],[_Res2]]&lt;&gt;"")+(Tasks[[#This Row],[_Res3]]&lt;&gt;"")+(Tasks[[#This Row],[_Res4]]&lt;&gt;""))</f>
        <v>0</v>
      </c>
      <c r="DO79" s="42" t="str">
        <f aca="false">IF(Tasks[[#This Row],[_Res2Text]]="","",IF(Tasks[[#This Row],[_Res2Row]]&gt;0,INDEX(res_Name,Tasks[[#This Row],[_Res2Row]]),TRIM(LEFT(Tasks[[#This Row],[_Res2Text]],FIND("[",Tasks[[#This Row],[_Res2Text]]&amp;"[")-1))))</f>
        <v/>
      </c>
      <c r="DP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9" s="42" t="n">
        <f aca="false">IF(OR(NOT(Tasks[[#This Row],[_IsLeaf]]=1),Tasks[[#This Row],[_Res2Row]]=0),0,N(Tasks[[#This Row],[_Days]])*HoursPerDay*IF(Tasks[[#This Row],[_Res2Units]]="",DefaultUnits,Tasks[[#This Row],[_Res2Units]]))</f>
        <v>0</v>
      </c>
      <c r="DR79" s="42" t="n">
        <f aca="false">IF(AND(AND(Tasks[[#This Row],[_IsLeaf]]=1,Tasks[[#This Row],[_LeafTotalWork]]&gt;0),Tasks[[#This Row],[_Res2Work]]&gt;0),Tasks[[#This Row],[_Res2Work]]/(Tasks[[#This Row],[_FinishWorkday]]-Tasks[[#This Row],[_StartWorkday]]+1),0)</f>
        <v>0</v>
      </c>
      <c r="DS79" s="42" t="n">
        <f aca="false">Tasks[[#This Row],[_Res2WorkPerWD]]*MAX(0,Tasks[[#This Row],[_StartWorkday]]-1)</f>
        <v>0</v>
      </c>
      <c r="DT79" s="42" t="n">
        <f aca="false">Tasks[[#This Row],[_Res2Work]]*Tasks[[#This Row],[_LeafProgress]]</f>
        <v>0</v>
      </c>
      <c r="DU79" s="42" t="str">
        <f aca="false">IF(Tasks[[#This Row],[_Res3Text]]="","",IF(Tasks[[#This Row],[_Res3Row]]&gt;0,INDEX(res_Name,Tasks[[#This Row],[_Res3Row]]),TRIM(LEFT(Tasks[[#This Row],[_Res3Text]],FIND("[",Tasks[[#This Row],[_Res3Text]]&amp;"[")-1))))</f>
        <v/>
      </c>
      <c r="DV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9" s="42" t="n">
        <f aca="false">IF(OR(NOT(Tasks[[#This Row],[_IsLeaf]]=1),Tasks[[#This Row],[_Res3Row]]=0),0,N(Tasks[[#This Row],[_Days]])*HoursPerDay*IF(Tasks[[#This Row],[_Res3Units]]="",DefaultUnits,Tasks[[#This Row],[_Res3Units]]))</f>
        <v>0</v>
      </c>
      <c r="DX79" s="42" t="n">
        <f aca="false">IF(AND(AND(Tasks[[#This Row],[_IsLeaf]]=1,Tasks[[#This Row],[_LeafTotalWork]]&gt;0),Tasks[[#This Row],[_Res3Work]]&gt;0),Tasks[[#This Row],[_Res3Work]]/(Tasks[[#This Row],[_FinishWorkday]]-Tasks[[#This Row],[_StartWorkday]]+1),0)</f>
        <v>0</v>
      </c>
      <c r="DY79" s="42" t="n">
        <f aca="false">Tasks[[#This Row],[_Res3WorkPerWD]]*MAX(0,Tasks[[#This Row],[_StartWorkday]]-1)</f>
        <v>0</v>
      </c>
      <c r="DZ79" s="42" t="n">
        <f aca="false">Tasks[[#This Row],[_Res3Work]]*Tasks[[#This Row],[_LeafProgress]]</f>
        <v>0</v>
      </c>
      <c r="EA79" s="42" t="str">
        <f aca="false">IF(Tasks[[#This Row],[_Res4Text]]="","",IF(Tasks[[#This Row],[_Res4Row]]&gt;0,INDEX(res_Name,Tasks[[#This Row],[_Res4Row]]),TRIM(LEFT(Tasks[[#This Row],[_Res4Text]],FIND("[",Tasks[[#This Row],[_Res4Text]]&amp;"[")-1))))</f>
        <v/>
      </c>
      <c r="EB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9" s="42" t="n">
        <f aca="false">IF(OR(NOT(Tasks[[#This Row],[_IsLeaf]]=1),Tasks[[#This Row],[_Res4Row]]=0),0,N(Tasks[[#This Row],[_Days]])*HoursPerDay*IF(Tasks[[#This Row],[_Res4Units]]="",DefaultUnits,Tasks[[#This Row],[_Res4Units]]))</f>
        <v>0</v>
      </c>
      <c r="ED79" s="42" t="n">
        <f aca="false">IF(AND(AND(Tasks[[#This Row],[_IsLeaf]]=1,Tasks[[#This Row],[_LeafTotalWork]]&gt;0),Tasks[[#This Row],[_Res4Work]]&gt;0),Tasks[[#This Row],[_Res4Work]]/(Tasks[[#This Row],[_FinishWorkday]]-Tasks[[#This Row],[_StartWorkday]]+1),0)</f>
        <v>0</v>
      </c>
      <c r="EE79" s="42" t="n">
        <f aca="false">Tasks[[#This Row],[_Res4WorkPerWD]]*MAX(0,Tasks[[#This Row],[_StartWorkday]]-1)</f>
        <v>0</v>
      </c>
      <c r="EF79" s="42" t="n">
        <f aca="false">Tasks[[#This Row],[_Res4Work]]*Tasks[[#This Row],[_LeafProgress]]</f>
        <v>0</v>
      </c>
      <c r="EG79" s="42" t="n">
        <f aca="false">IF(ISNUMBER(Tasks[[#This Row],[% Complete]]),Tasks[[#This Row],[% Complete]],IF(Tasks[[#This Row],[Stage]]="",0,IFERROR(INDEX(stg_Pct,MATCH(Tasks[[#This Row],[Stage]],stg_Name,0)),0)))</f>
        <v>0</v>
      </c>
      <c r="EH79" s="42" t="n">
        <f aca="false">IF(NOT(Tasks[[#This Row],[_IsLeaf]]=1),0,IF(N(Tasks[[#This Row],[Actual Finish]])&gt;0,1,MIN(1,Tasks[[#This Row],[_Pct]])))</f>
        <v>0</v>
      </c>
      <c r="EI79" s="42" t="n">
        <f aca="false">IF(OR(NOT(Tasks[[#This Row],[_IsLeaf]]=1),Tasks[[#This Row],[_Res1Row]]=0),0,N(Tasks[[#This Row],[_Days]])*HoursPerDay*IF(Tasks[[#This Row],[_Units1]]="",DefaultUnits,Tasks[[#This Row],[_Units1]]))</f>
        <v>0</v>
      </c>
      <c r="EJ79" s="42" t="n">
        <f aca="false">Tasks[[#This Row],[_LeafWork]]+Tasks[[#This Row],[_Res2Work]]+Tasks[[#This Row],[_Res3Work]]+Tasks[[#This Row],[_Res4Work]]</f>
        <v>0</v>
      </c>
      <c r="EK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9" s="42" t="n">
        <f aca="false">IF(NOT(Tasks[[#This Row],[_IsLeaf]]=1),0,MAX(_xlfn.MAXIFS(Tasks[_Row],Tasks[_Pred1UID],Tasks[[#This Row],[UID]]),_xlfn.MAXIFS(Tasks[_Row],Tasks[_Pred2UID],Tasks[[#This Row],[UID]]),_xlfn.MAXIFS(Tasks[_Row],Tasks[_Pred3UID],Tasks[[#This Row],[UID]]),_xlfn.MAXIFS(Tasks[_Row],Tasks[_Pred4UID],Tasks[[#This Row],[UID]])))</f>
        <v>0</v>
      </c>
      <c r="ET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9" s="89" t="str">
        <f aca="false">IF(NOT(Tasks[[#This Row],[_IsLeaf]]=1),"",IF(N(Tasks[[#This Row],[_Days]])&lt;=0,Tasks[[#This Row],[_LeafLateFinish]],WORKDAY.INTL(Tasks[[#This Row],[_LeafLateFinish]],-(Tasks[[#This Row],[_Days]]-1),WorkWeek,Holidays)))</f>
        <v/>
      </c>
      <c r="EW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9" s="88" t="b">
        <f aca="false">AND(Tasks[[#This Row],[_IsLeaf]]=1,Tasks[[#This Row],[_LeafProgress]]&lt;1,N(Tasks[[#This Row],[_LeafTotalSlack]])&lt;=CriticalSlackDays)</f>
        <v>0</v>
      </c>
      <c r="EY79" s="42" t="n">
        <f aca="false">IF(AND(Tasks[[#This Row],[_IsLeaf]]=1,Tasks[[#This Row],[_ConstraintCode]]=1,Tasks[[#This Row],[Mode]]&lt;&gt;"Manual",N(Tasks[[#This Row],[Actual Start]])=0),MAX(0,N(Tasks[[#This Row],[Free Slack]])),0)</f>
        <v>0</v>
      </c>
      <c r="EZ79" s="89" t="str">
        <f aca="false">IF(NOT(Tasks[[#This Row],[_IsLeaf]]=1),"",IF(Tasks[[#This Row],[_AlapShift]]=0,Tasks[[#This Row],[_LeafCalcStart]],WORKDAY.INTL(Tasks[[#This Row],[_LeafCalcStart]],Tasks[[#This Row],[_AlapShift]],WorkWeek,Holidays)))</f>
        <v/>
      </c>
      <c r="FA79" s="89" t="str">
        <f aca="false">IF(NOT(Tasks[[#This Row],[_IsLeaf]]=1),"",IF(Tasks[[#This Row],[_AlapShift]]=0,Tasks[[#This Row],[_LeafCalcFinish]],WORKDAY.INTL(Tasks[[#This Row],[_LeafCalcFinish]],Tasks[[#This Row],[_AlapShift]],WorkWeek,Holidays)))</f>
        <v/>
      </c>
      <c r="FB79" s="89" t="str">
        <f aca="false">IF(NOT(Tasks[[#This Row],[_IsLeaf]]=1),"",IF(Tasks[[#This Row],[_AlapShift]]=0,Tasks[[#This Row],[_LeafFcstStart]],WORKDAY.INTL(Tasks[[#This Row],[_LeafFcstStart]],Tasks[[#This Row],[_AlapShift]],WorkWeek,Holidays)))</f>
        <v/>
      </c>
      <c r="FC79" s="89" t="str">
        <f aca="false">IF(NOT(Tasks[[#This Row],[_IsLeaf]]=1),"",IF(Tasks[[#This Row],[_AlapShift]]=0,Tasks[[#This Row],[_LeafFcstFinish]],WORKDAY.INTL(Tasks[[#This Row],[_LeafFcstFinish]],Tasks[[#This Row],[_AlapShift]],WorkWeek,Holidays)))</f>
        <v/>
      </c>
      <c r="FD79" s="89" t="str">
        <f aca="false">IF(Tasks[[#This Row],[Task Name]]="","",IF(Tasks[[#This Row],[_IsSummary]],MIN(INDEX(Tasks[_ShownCalcStart],Tasks[[#This Row],[_Row]]+1):INDEX(Tasks[_ShownCalcStart],Tasks[[#This Row],[_Row]]+Tasks[[#This Row],[_Descendants]])),Tasks[[#This Row],[_ShownCalcStart]]))</f>
        <v/>
      </c>
      <c r="FE79" s="89" t="str">
        <f aca="false">IF(Tasks[[#This Row],[Task Name]]="","",IF(Tasks[[#This Row],[_IsSummary]],MAX(INDEX(Tasks[_ShownCalcFinish],Tasks[[#This Row],[_Row]]+1):INDEX(Tasks[_ShownCalcFinish],Tasks[[#This Row],[_Row]]+Tasks[[#This Row],[_Descendants]])),Tasks[[#This Row],[_ShownCalcFinish]]))</f>
        <v/>
      </c>
      <c r="FF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9" s="42" t="n">
        <f aca="false">IF(AND(Tasks[[#This Row],[_IsLeaf]]=1,Tasks[[#This Row],[_LeafTotalWork]]&gt;0),NETWORKDAYS.INTL(ProjectStart,Tasks[[#This Row],[_ShownFcstStart]],WorkWeek,Holidays),0)</f>
        <v>0</v>
      </c>
      <c r="FS79" s="42" t="n">
        <f aca="false">IF(AND(Tasks[[#This Row],[_IsLeaf]]=1,Tasks[[#This Row],[_LeafTotalWork]]&gt;0),MAX(Tasks[[#This Row],[_StartWorkday]],NETWORKDAYS.INTL(ProjectStart,Tasks[[#This Row],[_ShownFcstFinish]],WorkWeek,Holidays)),0)</f>
        <v>0</v>
      </c>
      <c r="FT79" s="42" t="n">
        <f aca="false">IF(AND(Tasks[[#This Row],[_IsLeaf]]=1,Tasks[[#This Row],[_LeafTotalWork]]&gt;0),Tasks[[#This Row],[_LeafWork]]/(Tasks[[#This Row],[_FinishWorkday]]-Tasks[[#This Row],[_StartWorkday]]+1),0)</f>
        <v>0</v>
      </c>
      <c r="FU79" s="42" t="n">
        <f aca="false">Tasks[[#This Row],[_WorkPerWorkday]]*(Tasks[[#This Row],[_StartWorkday]]-1)</f>
        <v>-0</v>
      </c>
      <c r="FV79" s="42" t="n">
        <f aca="false">IF(Tasks[[#This Row],[_IsLeaf]]=1,MAX(N(Tasks[[#This Row],[_Days]]),0.1),0)</f>
        <v>0</v>
      </c>
      <c r="FW79" s="42" t="n">
        <f aca="false">Tasks[[#This Row],[_WeightDur]]*Tasks[[#This Row],[_LeafProgress]]</f>
        <v>0</v>
      </c>
      <c r="FX79" s="42" t="n">
        <f aca="false">Tasks[[#This Row],[_WeightDur]]*Tasks[[#This Row],[_PlannedPct]]</f>
        <v>0</v>
      </c>
      <c r="FY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9" s="42" t="str">
        <f aca="false">IF(AND(Tasks[[#This Row],[_IsLeaf]]=1,N(Tasks[[#This Row],[_Days]])=0,Tasks[[#This Row],[_LeafProgress]]&lt;1),Tasks[[#This Row],[_ShownFcstFinish]]+Tasks[[#This Row],[_Row]]/100000,"")</f>
        <v/>
      </c>
      <c r="GA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9" s="42" t="str">
        <f aca="false">IF(Tasks[[#This Row],[Task Name]]="","",LEFT(Tasks[[#This Row],[WBS]],FIND(".",Tasks[[#This Row],[WBS]]&amp;".")-1))</f>
        <v/>
      </c>
      <c r="GC79" s="42" t="str">
        <f aca="false">IF(AND(Tasks[[#This Row],[Task Name]]&lt;&gt;"",Tasks[[#This Row],[_Level]]=1),Tasks[[#This Row],[_Row]],"")</f>
        <v/>
      </c>
      <c r="GD79" s="42" t="str">
        <f aca="false">IF(AND(Tasks[[#This Row],[_IsLeaf]]=1,N(Tasks[[#This Row],[_Days]])=0),Tasks[[#This Row],[Planned Finish]]+Tasks[[#This Row],[_Row]]/100000,"")</f>
        <v/>
      </c>
      <c r="GE79" s="42" t="str">
        <f aca="false">IF(AND(Tasks[[#This Row],[_IsLeaf]]=1,Tasks[[#This Row],[_LeafProgress]]&lt;1,OR(N(Tasks[[#This Row],[Finish Var]])&gt;0,Tasks[[#This Row],[Status]]="Late Start")),MAX(0,Tasks[[#This Row],[Finish Var]])+1-Tasks[[#This Row],[_Row]]/1000000,"")</f>
        <v/>
      </c>
      <c r="GF79" s="42" t="str">
        <f aca="false">IF(AND(Tasks[[#This Row],[_IsLeaf]]=1,N(Tasks[[#This Row],[Actual Start]])=0,Tasks[[#This Row],[_ShownFcstStart]]&gt;=StatusDate,Tasks[[#This Row],[_ShownFcstStart]]&lt;=LookaheadEnd),Tasks[[#This Row],[_ShownFcstStart]]+Tasks[[#This Row],[_Row]]/100000,"")</f>
        <v/>
      </c>
      <c r="GG79" s="42" t="str">
        <f aca="false">IF(AND(Tasks[[#This Row],[_IsLeaf]]=1,Tasks[[#This Row],[_LeafProgress]]&lt;1,Tasks[[#This Row],[_ShownFcstFinish]]&gt;=StatusDate,Tasks[[#This Row],[_ShownFcstFinish]]&lt;=LookaheadEnd),Tasks[[#This Row],[_ShownFcstFinish]]+Tasks[[#This Row],[_Row]]/100000,"")</f>
        <v/>
      </c>
      <c r="GH79" s="42" t="str">
        <f aca="false">IF(Tasks[[#This Row],[_LeafCritical]],Tasks[[#This Row],[_ShownFcstStart]]+Tasks[[#This Row],[_Row]]/100000,"")</f>
        <v/>
      </c>
      <c r="GI79" s="42" t="n">
        <f aca="false">Tasks[[#This Row],[_LeafWork]]*Tasks[[#This Row],[_LeafProgress]]</f>
        <v>0</v>
      </c>
      <c r="GJ79" s="89" t="str">
        <f aca="false">IF(AND(Tasks[[#This Row],[_IsLeaf]]=1,Tasks[[#This Row],[_LeafProgress]]&gt;=1),IF(N(Tasks[[#This Row],[Actual Finish]])&gt;0,Tasks[[#This Row],[Actual Finish]],Tasks[[#This Row],[_ShownFcstFinish]]),"")</f>
        <v/>
      </c>
      <c r="GK79" s="42" t="n">
        <f aca="false">IF(Tasks[[#This Row],[_IsLeaf]]=1,N(Tasks[[#This Row],[Story Points]]),0)</f>
        <v>0</v>
      </c>
      <c r="GL79" s="42" t="str">
        <f aca="false">""</f>
        <v/>
      </c>
      <c r="GM79" s="88" t="b">
        <f aca="false">IF(Tasks[[#This Row],[Task Name]]="",FALSE(),AND(Tasks[[#This Row],[_IsLeaf]]=1,N(Tasks[[#This Row],[_Days]])=0))</f>
        <v>0</v>
      </c>
      <c r="GN79" s="89" t="n">
        <f aca="false">IF(Tasks[[#This Row],[Task Name]]="",0,IF(AND(Tasks[[#This Row],[_IsLeaf]]=1,NOT(Tasks[[#This Row],[_IsMilestone]]),N(Tasks[[#This Row],[Progress]])&gt;0),Tasks[[#This Row],[Start]],0))</f>
        <v>0</v>
      </c>
      <c r="GO79" s="89" t="n">
        <f aca="false">IF(Tasks[[#This Row],[_DoneFrom]]=0,0,IF(Tasks[[#This Row],[Progress]]&gt;=1,Tasks[[#This Row],[Finish]],MAX(Tasks[[#This Row],[_DoneFrom]],Tasks[[#This Row],[Start]]+ROUND((Tasks[[#This Row],[Finish]]-Tasks[[#This Row],[Start]]+1)*Tasks[[#This Row],[Progress]],0)-1)))</f>
        <v>0</v>
      </c>
      <c r="GP79" s="89" t="n">
        <f aca="false">IF(Tasks[[#This Row],[Task Name]]="",0,IF(OR(NOT(Tasks[[#This Row],[_IsLeaf]]=1),Tasks[[#This Row],[_IsMilestone]],N(Tasks[[#This Row],[Progress]])&gt;=1),0,IF(Tasks[[#This Row],[_DoneTo]]&gt;0,Tasks[[#This Row],[_DoneTo]]+1,Tasks[[#This Row],[Start]])))</f>
        <v>0</v>
      </c>
      <c r="GQ79" s="89" t="n">
        <f aca="false">IF(Tasks[[#This Row],[_RemFrom]]=0,0,Tasks[[#This Row],[Finish]])</f>
        <v>0</v>
      </c>
      <c r="GR79" s="88" t="b">
        <f aca="false">IF(Tasks[[#This Row],[Task Name]]="",FALSE(),OR(NOT(BaselineSet),N(Tasks[[#This Row],[Baseline Start]])&gt;0))</f>
        <v>0</v>
      </c>
      <c r="GS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9" s="90" t="str">
        <f aca="false">IF(Tasks[[#This Row],[_IsLeaf]]=1,Tasks[[#This Row],[_Row]],"")</f>
        <v/>
      </c>
      <c r="GW79" s="90" t="str">
        <f aca="false">IFERROR(INDEX(Tasks[UID],SMALL(Tasks[_PickKey],Tasks[[#This Row],[_Row]]))&amp;" "&amp;INDEX(Tasks[Task Name],SMALL(Tasks[_PickKey],Tasks[[#This Row],[_Row]])),"")</f>
        <v/>
      </c>
      <c r="GX79" s="42" t="str">
        <f aca="false">IF(Tasks[[#This Row],[Task Name]]="","",IF(Tasks[[#This Row],[_IsSummary]],NETWORKDAYS.INTL(Tasks[[#This Row],[Start]],Tasks[[#This Row],[Finish]],WorkWeek,Holidays),N(Tasks[[#This Row],[_Days]])))</f>
        <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3"/>
      <c r="U80" s="23"/>
      <c r="V80" s="83"/>
      <c r="W80" s="23"/>
      <c r="X80" s="83"/>
      <c r="Y80" s="23"/>
      <c r="Z80" s="83"/>
      <c r="AA80" s="23"/>
      <c r="AB80" s="23"/>
      <c r="AC80" s="7"/>
      <c r="AD80" s="7"/>
      <c r="AE80" s="62" t="str">
        <f aca="false">IF(Tasks[[#This Row],[Task Name]]="","",IF(Tasks[[#This Row],[_IsSummary]],MIN(INDEX(Tasks[_ShownFcstStart],Tasks[[#This Row],[_Row]]+1):INDEX(Tasks[_ShownFcstStart],Tasks[[#This Row],[_Row]]+Tasks[[#This Row],[_Descendants]])),Tasks[[#This Row],[_ShownFcstStart]]))</f>
        <v/>
      </c>
      <c r="AF80" s="62"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0" s="7"/>
      <c r="AK80" s="22"/>
      <c r="AL80" s="23"/>
      <c r="AM80" s="7"/>
      <c r="AN80" s="46"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2" t="str">
        <f aca="false">IF(Tasks[[#This Row],[Task Name]]="","",IF(N(Tasks[[#This Row],[Baseline Start]])&gt;0,Tasks[[#This Row],[Baseline Start]],Tasks[[#This Row],[_CalcStart]]))</f>
        <v/>
      </c>
      <c r="AR80" s="62" t="str">
        <f aca="false">IF(Tasks[[#This Row],[Task Name]]="","",IF(N(Tasks[[#This Row],[Baseline Finish]])&gt;0,Tasks[[#This Row],[Baseline Finish]],Tasks[[#This Row],[_CalcFinish]]))</f>
        <v/>
      </c>
      <c r="AS80" s="46" t="str">
        <f aca="false">IF(Tasks[[#This Row],[Task Name]]="","",IF(Tasks[[#This Row],[Start]]&gt;=Tasks[[#This Row],[Planned Start]],NETWORKDAYS.INTL(Tasks[[#This Row],[Planned Start]],Tasks[[#This Row],[Start]],WorkWeek,Holidays)-1,1-NETWORKDAYS.INTL(Tasks[[#This Row],[Start]],Tasks[[#This Row],[Planned Start]],WorkWeek,Holidays)))</f>
        <v/>
      </c>
      <c r="AT80" s="62" t="str">
        <f aca="false">IF(Tasks[[#This Row],[Task Name]]="","",IF(Tasks[[#This Row],[_IsSummary]],MIN(INDEX(Tasks[_LeafLateStart],Tasks[[#This Row],[_Row]]+1):INDEX(Tasks[_LeafLateStart],Tasks[[#This Row],[_Row]]+Tasks[[#This Row],[_Descendants]])),Tasks[[#This Row],[_LeafLateStart]]))</f>
        <v/>
      </c>
      <c r="AU80" s="62" t="str">
        <f aca="false">IF(Tasks[[#This Row],[Task Name]]="","",IF(Tasks[[#This Row],[_IsSummary]],MAX(INDEX(Tasks[_LeafLateFinish],Tasks[[#This Row],[_Row]]+1):INDEX(Tasks[_LeafLateFinish],Tasks[[#This Row],[_Row]]+Tasks[[#This Row],[_Descendants]])),Tasks[[#This Row],[_LeafLateFinish]]))</f>
        <v/>
      </c>
      <c r="AV80" s="46"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4"/>
      <c r="BA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5"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6"/>
      <c r="BJ80" s="22"/>
      <c r="BK80" s="46" t="str">
        <f aca="false">IF(OR(Tasks[[#This Row],[Task Name]]="",Tasks[[#This Row],[Baseline Duration]]=""),"",Tasks[[#This Row],[_SpanDays]]-N(Tasks[[#This Row],[Baseline Duration]]))</f>
        <v/>
      </c>
      <c r="BL80" s="85" t="str">
        <f aca="false">IF(OR(Tasks[[#This Row],[Task Name]]="",Tasks[[#This Row],[Baseline Work]]=""),"",Tasks[[#This Row],[Work]]-N(Tasks[[#This Row],[Baseline Work]]))</f>
        <v/>
      </c>
      <c r="BM80" s="62" t="str">
        <f aca="false">IF(Tasks[[#This Row],[Task Name]]="","",IF(OR(TakeBaseline="Yes",N(Tasks[[#This Row],[Baseline Start]])=0),Tasks[[#This Row],[Start]],Tasks[[#This Row],[Baseline Start]]))</f>
        <v/>
      </c>
      <c r="BN80" s="62"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5" t="str">
        <f aca="false">IF(Tasks[[#This Row],[Task Name]]="","",IF(OR(TakeBaseline="Yes",N(Tasks[[#This Row],[Baseline Work]])=0),Tasks[[#This Row],[Work]],Tasks[[#This Row],[Baseline Work]]))</f>
        <v/>
      </c>
      <c r="BQ80" s="7"/>
      <c r="BR80" s="7"/>
      <c r="BS80" s="22"/>
      <c r="BT80" s="87"/>
      <c r="BU80" s="42" t="str">
        <f aca="false">IF(Tasks[[#This Row],[Task Name]]="","",MAX(1,N(Tasks[[#This Row],[Level]])))</f>
        <v/>
      </c>
      <c r="BV80" s="42" t="n">
        <f aca="false">ROW()-ROW(Tasks[[#Headers],[ID]])</f>
        <v>75</v>
      </c>
      <c r="BW80" s="42" t="n">
        <f aca="false">IF(OR(Tasks[[#This Row],[Task Name]]="",Tasks[[#This Row],[_Level]]&lt;=1),0,IFERROR(LOOKUP(2,1/(Tasks[[#Headers],[_Level]]:Tasks[[#This Row],[_Level]]=Tasks[[#This Row],[_Level]]-1),ROW(Tasks[[#Headers],[_Level]]:Tasks[[#This Row],[_Level]])),0))</f>
        <v>0</v>
      </c>
      <c r="BX80" s="42" t="n">
        <f aca="false">IFERROR(N(INDEX(Tasks[_Level],Tasks[[#This Row],[_Row]]+1)),0)</f>
        <v>0</v>
      </c>
      <c r="BY80" s="88" t="b">
        <f aca="false">AND(Tasks[[#This Row],[Task Name]]&lt;&gt;"",Tasks[[#This Row],[_NextLevel]]&gt;Tasks[[#This Row],[_Level]])</f>
        <v>0</v>
      </c>
      <c r="BZ80" s="42" t="n">
        <f aca="false">IF(Tasks[[#This Row],[_IsSummary]],COUNTIF(Tasks[WBS],Tasks[[#This Row],[WBS]]&amp;".*"),0)</f>
        <v>0</v>
      </c>
      <c r="CA80" s="42" t="n">
        <f aca="false">IF(AND(Tasks[[#This Row],[Task Name]]&lt;&gt;"",NOT(Tasks[[#This Row],[_IsSummary]])),1,0)</f>
        <v>0</v>
      </c>
      <c r="CB80" s="42" t="n">
        <f aca="false">IF(N(Tasks[[#This Row],[_Pred1UID]])=0,0,IFERROR(MATCH(Tasks[[#This Row],[_Pred1UID]],Tasks[UID],0),-1))</f>
        <v>0</v>
      </c>
      <c r="CC80" s="42" t="n">
        <f aca="false">IF(N(Tasks[[#This Row],[_Pred2UID]])=0,0,IFERROR(MATCH(Tasks[[#This Row],[_Pred2UID]],Tasks[UID],0),-1))</f>
        <v>0</v>
      </c>
      <c r="CD80" s="42" t="n">
        <f aca="false">IF(N(Tasks[[#This Row],[_Pred3UID]])=0,0,IFERROR(MATCH(Tasks[[#This Row],[_Pred3UID]],Tasks[UID],0),-1))</f>
        <v>0</v>
      </c>
      <c r="CE80" s="42" t="n">
        <f aca="false">IF(N(Tasks[[#This Row],[_Pred4UID]])=0,0,IFERROR(MATCH(Tasks[[#This Row],[_Pred4UID]],Tasks[UID],0),-1))</f>
        <v>0</v>
      </c>
      <c r="CF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0" s="89" t="n">
        <f aca="false">IF(OR(Tasks[[#This Row],[_ConstraintCode]]=2,Tasks[[#This Row],[_ConstraintCode]]=3,Tasks[[#This Row],[_ConstraintCode]]=4,Tasks[[#This Row],[_ConstraintCode]]=6),Tasks[[#This Row],[_ConstraintStart]],0)</f>
        <v>0</v>
      </c>
      <c r="CI80" s="89" t="n">
        <f aca="false">IF(OR(Tasks[[#This Row],[_ConstraintCode]]=2,Tasks[[#This Row],[_ConstraintCode]]=3,Tasks[[#This Row],[_ConstraintCode]]=5,Tasks[[#This Row],[_ConstraintCode]]=7),Tasks[[#This Row],[_ConstraintStart]],2958465)</f>
        <v>2958465</v>
      </c>
      <c r="CJ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0" s="89" t="str">
        <f aca="false">IF(NOT(Tasks[[#This Row],[_IsLeaf]]=1),"",IF(N(Tasks[[#This Row],[_Days]])&lt;=0,Tasks[[#This Row],[_LeafCalcStart]],WORKDAY.INTL(Tasks[[#This Row],[_LeafCalcStart]],Tasks[[#This Row],[_Days]]-1,WorkWeek,Holidays)))</f>
        <v/>
      </c>
      <c r="CL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0" s="42" t="str">
        <f aca="false">IF(Tasks[[#This Row],[_Predecessors]]="","",TRIM(MID(SUBSTITUTE(SUBSTITUTE(SUBSTITUTE(UPPER(Tasks[[#This Row],[_Predecessors]]),";",",")," ",""),",",REPT(" ",99)),1,99)))</f>
        <v/>
      </c>
      <c r="CO80" s="42" t="str">
        <f aca="false">IF(Tasks[[#This Row],[_Pred1Text]]="","",IFERROR(VALUE(LEFT(Tasks[[#This Row],[_Pred1Text]],MIN(FIND("F",Tasks[[#This Row],[_Pred1Text]]&amp;"F"),FIND("S",Tasks[[#This Row],[_Pred1Text]]&amp;"S"),FIND("+",Tasks[[#This Row],[_Pred1Text]]&amp;"+"),FIND("-",Tasks[[#This Row],[_Pred1Text]]&amp;"-"))-1)),""))</f>
        <v/>
      </c>
      <c r="CP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0" s="42" t="str">
        <f aca="false">IF(Tasks[[#This Row],[_Pred1Text]]="","",TRIM(MID(SUBSTITUTE(SUBSTITUTE(SUBSTITUTE(UPPER(Tasks[[#This Row],[_Predecessors]]),";",",")," ",""),",",REPT(" ",99)),100,99)))</f>
        <v/>
      </c>
      <c r="CS80" s="42" t="str">
        <f aca="false">IF(Tasks[[#This Row],[_Pred2Text]]="","",IFERROR(VALUE(LEFT(Tasks[[#This Row],[_Pred2Text]],MIN(FIND("F",Tasks[[#This Row],[_Pred2Text]]&amp;"F"),FIND("S",Tasks[[#This Row],[_Pred2Text]]&amp;"S"),FIND("+",Tasks[[#This Row],[_Pred2Text]]&amp;"+"),FIND("-",Tasks[[#This Row],[_Pred2Text]]&amp;"-"))-1)),""))</f>
        <v/>
      </c>
      <c r="CT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0" s="42" t="str">
        <f aca="false">IF(Tasks[[#This Row],[_Pred2Text]]="","",TRIM(MID(SUBSTITUTE(SUBSTITUTE(SUBSTITUTE(UPPER(Tasks[[#This Row],[_Predecessors]]),";",",")," ",""),",",REPT(" ",99)),199,99)))</f>
        <v/>
      </c>
      <c r="CW80" s="42" t="str">
        <f aca="false">IF(Tasks[[#This Row],[_Pred3Text]]="","",IFERROR(VALUE(LEFT(Tasks[[#This Row],[_Pred3Text]],MIN(FIND("F",Tasks[[#This Row],[_Pred3Text]]&amp;"F"),FIND("S",Tasks[[#This Row],[_Pred3Text]]&amp;"S"),FIND("+",Tasks[[#This Row],[_Pred3Text]]&amp;"+"),FIND("-",Tasks[[#This Row],[_Pred3Text]]&amp;"-"))-1)),""))</f>
        <v/>
      </c>
      <c r="CX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0" s="42" t="str">
        <f aca="false">IF(Tasks[[#This Row],[_Pred3Text]]="","",TRIM(MID(SUBSTITUTE(SUBSTITUTE(SUBSTITUTE(UPPER(Tasks[[#This Row],[_Predecessors]]),";",",")," ",""),",",REPT(" ",99)),298,99)))</f>
        <v/>
      </c>
      <c r="DA80" s="42" t="str">
        <f aca="false">IF(Tasks[[#This Row],[_Pred4Text]]="","",IFERROR(VALUE(LEFT(Tasks[[#This Row],[_Pred4Text]],MIN(FIND("F",Tasks[[#This Row],[_Pred4Text]]&amp;"F"),FIND("S",Tasks[[#This Row],[_Pred4Text]]&amp;"S"),FIND("+",Tasks[[#This Row],[_Pred4Text]]&amp;"+"),FIND("-",Tasks[[#This Row],[_Pred4Text]]&amp;"-"))-1)),""))</f>
        <v/>
      </c>
      <c r="DB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0" s="42" t="str">
        <f aca="false">IF(OR(Tasks[[#This Row],[Task Name]]="",Tasks[[#This Row],[_Resources]]=""),"",TRIM(MID(SUBSTITUTE(Tasks[[#This Row],[_Resources]],",",REPT(" ",99)),1,99)))</f>
        <v/>
      </c>
      <c r="DE80" s="42" t="str">
        <f aca="false">IF(Tasks[[#This Row],[_Res1Text]]="","",TRIM(MID(SUBSTITUTE(Tasks[[#This Row],[_Resources]],",",REPT(" ",99)),100,99)))</f>
        <v/>
      </c>
      <c r="DF80" s="42" t="str">
        <f aca="false">IF(Tasks[[#This Row],[_Res2Text]]="","",TRIM(MID(SUBSTITUTE(Tasks[[#This Row],[_Resources]],",",REPT(" ",99)),199,99)))</f>
        <v/>
      </c>
      <c r="DG80" s="42" t="str">
        <f aca="false">IF(Tasks[[#This Row],[_Res3Text]]="","",TRIM(MID(SUBSTITUTE(Tasks[[#This Row],[_Resources]],",",REPT(" ",99)),298,99)))</f>
        <v/>
      </c>
      <c r="DH80" s="42" t="n">
        <f aca="false">IF(Tasks[[#This Row],[_Res1Text]]="",0,IFERROR(MATCH(TRIM(LEFT(Tasks[[#This Row],[_Res1Text]],FIND("[",Tasks[[#This Row],[_Res1Text]]&amp;"[")-1)),res_Name,0),IFERROR(MATCH(TRIM(LEFT(Tasks[[#This Row],[_Res1Text]],FIND("[",Tasks[[#This Row],[_Res1Text]]&amp;"[")-1)),res_Initials,0),0)))</f>
        <v>0</v>
      </c>
      <c r="DI80" s="42" t="n">
        <f aca="false">IF(Tasks[[#This Row],[_Res2Text]]="",0,IFERROR(MATCH(TRIM(LEFT(Tasks[[#This Row],[_Res2Text]],FIND("[",Tasks[[#This Row],[_Res2Text]]&amp;"[")-1)),res_Name,0),IFERROR(MATCH(TRIM(LEFT(Tasks[[#This Row],[_Res2Text]],FIND("[",Tasks[[#This Row],[_Res2Text]]&amp;"[")-1)),res_Initials,0),0)))</f>
        <v>0</v>
      </c>
      <c r="DJ80" s="42" t="n">
        <f aca="false">IF(Tasks[[#This Row],[_Res3Text]]="",0,IFERROR(MATCH(TRIM(LEFT(Tasks[[#This Row],[_Res3Text]],FIND("[",Tasks[[#This Row],[_Res3Text]]&amp;"[")-1)),res_Name,0),IFERROR(MATCH(TRIM(LEFT(Tasks[[#This Row],[_Res3Text]],FIND("[",Tasks[[#This Row],[_Res3Text]]&amp;"[")-1)),res_Initials,0),0)))</f>
        <v>0</v>
      </c>
      <c r="DK80" s="42" t="n">
        <f aca="false">IF(Tasks[[#This Row],[_Res4Text]]="",0,IFERROR(MATCH(TRIM(LEFT(Tasks[[#This Row],[_Res4Text]],FIND("[",Tasks[[#This Row],[_Res4Text]]&amp;"[")-1)),res_Name,0),IFERROR(MATCH(TRIM(LEFT(Tasks[[#This Row],[_Res4Text]],FIND("[",Tasks[[#This Row],[_Res4Text]]&amp;"[")-1)),res_Initials,0),0)))</f>
        <v>0</v>
      </c>
      <c r="DL80" s="42" t="str">
        <f aca="false">IF(Tasks[[#This Row],[_Res1Text]]="","",IF(Tasks[[#This Row],[_Res1Row]]&gt;0,INDEX(res_Name,Tasks[[#This Row],[_Res1Row]]),TRIM(LEFT(Tasks[[#This Row],[_Res1Text]],FIND("[",Tasks[[#This Row],[_Res1Text]]&amp;"[")-1))))</f>
        <v/>
      </c>
      <c r="DM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0" s="42" t="n">
        <f aca="false">IF(NOT(Tasks[[#This Row],[_IsLeaf]]=1),0,(Tasks[[#This Row],[_Resource1]]&lt;&gt;"")+(Tasks[[#This Row],[_Res2]]&lt;&gt;"")+(Tasks[[#This Row],[_Res3]]&lt;&gt;"")+(Tasks[[#This Row],[_Res4]]&lt;&gt;""))</f>
        <v>0</v>
      </c>
      <c r="DO80" s="42" t="str">
        <f aca="false">IF(Tasks[[#This Row],[_Res2Text]]="","",IF(Tasks[[#This Row],[_Res2Row]]&gt;0,INDEX(res_Name,Tasks[[#This Row],[_Res2Row]]),TRIM(LEFT(Tasks[[#This Row],[_Res2Text]],FIND("[",Tasks[[#This Row],[_Res2Text]]&amp;"[")-1))))</f>
        <v/>
      </c>
      <c r="DP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0" s="42" t="n">
        <f aca="false">IF(OR(NOT(Tasks[[#This Row],[_IsLeaf]]=1),Tasks[[#This Row],[_Res2Row]]=0),0,N(Tasks[[#This Row],[_Days]])*HoursPerDay*IF(Tasks[[#This Row],[_Res2Units]]="",DefaultUnits,Tasks[[#This Row],[_Res2Units]]))</f>
        <v>0</v>
      </c>
      <c r="DR80" s="42" t="n">
        <f aca="false">IF(AND(AND(Tasks[[#This Row],[_IsLeaf]]=1,Tasks[[#This Row],[_LeafTotalWork]]&gt;0),Tasks[[#This Row],[_Res2Work]]&gt;0),Tasks[[#This Row],[_Res2Work]]/(Tasks[[#This Row],[_FinishWorkday]]-Tasks[[#This Row],[_StartWorkday]]+1),0)</f>
        <v>0</v>
      </c>
      <c r="DS80" s="42" t="n">
        <f aca="false">Tasks[[#This Row],[_Res2WorkPerWD]]*MAX(0,Tasks[[#This Row],[_StartWorkday]]-1)</f>
        <v>0</v>
      </c>
      <c r="DT80" s="42" t="n">
        <f aca="false">Tasks[[#This Row],[_Res2Work]]*Tasks[[#This Row],[_LeafProgress]]</f>
        <v>0</v>
      </c>
      <c r="DU80" s="42" t="str">
        <f aca="false">IF(Tasks[[#This Row],[_Res3Text]]="","",IF(Tasks[[#This Row],[_Res3Row]]&gt;0,INDEX(res_Name,Tasks[[#This Row],[_Res3Row]]),TRIM(LEFT(Tasks[[#This Row],[_Res3Text]],FIND("[",Tasks[[#This Row],[_Res3Text]]&amp;"[")-1))))</f>
        <v/>
      </c>
      <c r="DV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0" s="42" t="n">
        <f aca="false">IF(OR(NOT(Tasks[[#This Row],[_IsLeaf]]=1),Tasks[[#This Row],[_Res3Row]]=0),0,N(Tasks[[#This Row],[_Days]])*HoursPerDay*IF(Tasks[[#This Row],[_Res3Units]]="",DefaultUnits,Tasks[[#This Row],[_Res3Units]]))</f>
        <v>0</v>
      </c>
      <c r="DX80" s="42" t="n">
        <f aca="false">IF(AND(AND(Tasks[[#This Row],[_IsLeaf]]=1,Tasks[[#This Row],[_LeafTotalWork]]&gt;0),Tasks[[#This Row],[_Res3Work]]&gt;0),Tasks[[#This Row],[_Res3Work]]/(Tasks[[#This Row],[_FinishWorkday]]-Tasks[[#This Row],[_StartWorkday]]+1),0)</f>
        <v>0</v>
      </c>
      <c r="DY80" s="42" t="n">
        <f aca="false">Tasks[[#This Row],[_Res3WorkPerWD]]*MAX(0,Tasks[[#This Row],[_StartWorkday]]-1)</f>
        <v>0</v>
      </c>
      <c r="DZ80" s="42" t="n">
        <f aca="false">Tasks[[#This Row],[_Res3Work]]*Tasks[[#This Row],[_LeafProgress]]</f>
        <v>0</v>
      </c>
      <c r="EA80" s="42" t="str">
        <f aca="false">IF(Tasks[[#This Row],[_Res4Text]]="","",IF(Tasks[[#This Row],[_Res4Row]]&gt;0,INDEX(res_Name,Tasks[[#This Row],[_Res4Row]]),TRIM(LEFT(Tasks[[#This Row],[_Res4Text]],FIND("[",Tasks[[#This Row],[_Res4Text]]&amp;"[")-1))))</f>
        <v/>
      </c>
      <c r="EB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0" s="42" t="n">
        <f aca="false">IF(OR(NOT(Tasks[[#This Row],[_IsLeaf]]=1),Tasks[[#This Row],[_Res4Row]]=0),0,N(Tasks[[#This Row],[_Days]])*HoursPerDay*IF(Tasks[[#This Row],[_Res4Units]]="",DefaultUnits,Tasks[[#This Row],[_Res4Units]]))</f>
        <v>0</v>
      </c>
      <c r="ED80" s="42" t="n">
        <f aca="false">IF(AND(AND(Tasks[[#This Row],[_IsLeaf]]=1,Tasks[[#This Row],[_LeafTotalWork]]&gt;0),Tasks[[#This Row],[_Res4Work]]&gt;0),Tasks[[#This Row],[_Res4Work]]/(Tasks[[#This Row],[_FinishWorkday]]-Tasks[[#This Row],[_StartWorkday]]+1),0)</f>
        <v>0</v>
      </c>
      <c r="EE80" s="42" t="n">
        <f aca="false">Tasks[[#This Row],[_Res4WorkPerWD]]*MAX(0,Tasks[[#This Row],[_StartWorkday]]-1)</f>
        <v>0</v>
      </c>
      <c r="EF80" s="42" t="n">
        <f aca="false">Tasks[[#This Row],[_Res4Work]]*Tasks[[#This Row],[_LeafProgress]]</f>
        <v>0</v>
      </c>
      <c r="EG80" s="42" t="n">
        <f aca="false">IF(ISNUMBER(Tasks[[#This Row],[% Complete]]),Tasks[[#This Row],[% Complete]],IF(Tasks[[#This Row],[Stage]]="",0,IFERROR(INDEX(stg_Pct,MATCH(Tasks[[#This Row],[Stage]],stg_Name,0)),0)))</f>
        <v>0</v>
      </c>
      <c r="EH80" s="42" t="n">
        <f aca="false">IF(NOT(Tasks[[#This Row],[_IsLeaf]]=1),0,IF(N(Tasks[[#This Row],[Actual Finish]])&gt;0,1,MIN(1,Tasks[[#This Row],[_Pct]])))</f>
        <v>0</v>
      </c>
      <c r="EI80" s="42" t="n">
        <f aca="false">IF(OR(NOT(Tasks[[#This Row],[_IsLeaf]]=1),Tasks[[#This Row],[_Res1Row]]=0),0,N(Tasks[[#This Row],[_Days]])*HoursPerDay*IF(Tasks[[#This Row],[_Units1]]="",DefaultUnits,Tasks[[#This Row],[_Units1]]))</f>
        <v>0</v>
      </c>
      <c r="EJ80" s="42" t="n">
        <f aca="false">Tasks[[#This Row],[_LeafWork]]+Tasks[[#This Row],[_Res2Work]]+Tasks[[#This Row],[_Res3Work]]+Tasks[[#This Row],[_Res4Work]]</f>
        <v>0</v>
      </c>
      <c r="EK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0" s="42" t="n">
        <f aca="false">IF(NOT(Tasks[[#This Row],[_IsLeaf]]=1),0,MAX(_xlfn.MAXIFS(Tasks[_Row],Tasks[_Pred1UID],Tasks[[#This Row],[UID]]),_xlfn.MAXIFS(Tasks[_Row],Tasks[_Pred2UID],Tasks[[#This Row],[UID]]),_xlfn.MAXIFS(Tasks[_Row],Tasks[_Pred3UID],Tasks[[#This Row],[UID]]),_xlfn.MAXIFS(Tasks[_Row],Tasks[_Pred4UID],Tasks[[#This Row],[UID]])))</f>
        <v>0</v>
      </c>
      <c r="ET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0" s="89" t="str">
        <f aca="false">IF(NOT(Tasks[[#This Row],[_IsLeaf]]=1),"",IF(N(Tasks[[#This Row],[_Days]])&lt;=0,Tasks[[#This Row],[_LeafLateFinish]],WORKDAY.INTL(Tasks[[#This Row],[_LeafLateFinish]],-(Tasks[[#This Row],[_Days]]-1),WorkWeek,Holidays)))</f>
        <v/>
      </c>
      <c r="EW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0" s="88" t="b">
        <f aca="false">AND(Tasks[[#This Row],[_IsLeaf]]=1,Tasks[[#This Row],[_LeafProgress]]&lt;1,N(Tasks[[#This Row],[_LeafTotalSlack]])&lt;=CriticalSlackDays)</f>
        <v>0</v>
      </c>
      <c r="EY80" s="42" t="n">
        <f aca="false">IF(AND(Tasks[[#This Row],[_IsLeaf]]=1,Tasks[[#This Row],[_ConstraintCode]]=1,Tasks[[#This Row],[Mode]]&lt;&gt;"Manual",N(Tasks[[#This Row],[Actual Start]])=0),MAX(0,N(Tasks[[#This Row],[Free Slack]])),0)</f>
        <v>0</v>
      </c>
      <c r="EZ80" s="89" t="str">
        <f aca="false">IF(NOT(Tasks[[#This Row],[_IsLeaf]]=1),"",IF(Tasks[[#This Row],[_AlapShift]]=0,Tasks[[#This Row],[_LeafCalcStart]],WORKDAY.INTL(Tasks[[#This Row],[_LeafCalcStart]],Tasks[[#This Row],[_AlapShift]],WorkWeek,Holidays)))</f>
        <v/>
      </c>
      <c r="FA80" s="89" t="str">
        <f aca="false">IF(NOT(Tasks[[#This Row],[_IsLeaf]]=1),"",IF(Tasks[[#This Row],[_AlapShift]]=0,Tasks[[#This Row],[_LeafCalcFinish]],WORKDAY.INTL(Tasks[[#This Row],[_LeafCalcFinish]],Tasks[[#This Row],[_AlapShift]],WorkWeek,Holidays)))</f>
        <v/>
      </c>
      <c r="FB80" s="89" t="str">
        <f aca="false">IF(NOT(Tasks[[#This Row],[_IsLeaf]]=1),"",IF(Tasks[[#This Row],[_AlapShift]]=0,Tasks[[#This Row],[_LeafFcstStart]],WORKDAY.INTL(Tasks[[#This Row],[_LeafFcstStart]],Tasks[[#This Row],[_AlapShift]],WorkWeek,Holidays)))</f>
        <v/>
      </c>
      <c r="FC80" s="89" t="str">
        <f aca="false">IF(NOT(Tasks[[#This Row],[_IsLeaf]]=1),"",IF(Tasks[[#This Row],[_AlapShift]]=0,Tasks[[#This Row],[_LeafFcstFinish]],WORKDAY.INTL(Tasks[[#This Row],[_LeafFcstFinish]],Tasks[[#This Row],[_AlapShift]],WorkWeek,Holidays)))</f>
        <v/>
      </c>
      <c r="FD80" s="89" t="str">
        <f aca="false">IF(Tasks[[#This Row],[Task Name]]="","",IF(Tasks[[#This Row],[_IsSummary]],MIN(INDEX(Tasks[_ShownCalcStart],Tasks[[#This Row],[_Row]]+1):INDEX(Tasks[_ShownCalcStart],Tasks[[#This Row],[_Row]]+Tasks[[#This Row],[_Descendants]])),Tasks[[#This Row],[_ShownCalcStart]]))</f>
        <v/>
      </c>
      <c r="FE80" s="89" t="str">
        <f aca="false">IF(Tasks[[#This Row],[Task Name]]="","",IF(Tasks[[#This Row],[_IsSummary]],MAX(INDEX(Tasks[_ShownCalcFinish],Tasks[[#This Row],[_Row]]+1):INDEX(Tasks[_ShownCalcFinish],Tasks[[#This Row],[_Row]]+Tasks[[#This Row],[_Descendants]])),Tasks[[#This Row],[_ShownCalcFinish]]))</f>
        <v/>
      </c>
      <c r="FF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0" s="42" t="n">
        <f aca="false">IF(AND(Tasks[[#This Row],[_IsLeaf]]=1,Tasks[[#This Row],[_LeafTotalWork]]&gt;0),NETWORKDAYS.INTL(ProjectStart,Tasks[[#This Row],[_ShownFcstStart]],WorkWeek,Holidays),0)</f>
        <v>0</v>
      </c>
      <c r="FS80" s="42" t="n">
        <f aca="false">IF(AND(Tasks[[#This Row],[_IsLeaf]]=1,Tasks[[#This Row],[_LeafTotalWork]]&gt;0),MAX(Tasks[[#This Row],[_StartWorkday]],NETWORKDAYS.INTL(ProjectStart,Tasks[[#This Row],[_ShownFcstFinish]],WorkWeek,Holidays)),0)</f>
        <v>0</v>
      </c>
      <c r="FT80" s="42" t="n">
        <f aca="false">IF(AND(Tasks[[#This Row],[_IsLeaf]]=1,Tasks[[#This Row],[_LeafTotalWork]]&gt;0),Tasks[[#This Row],[_LeafWork]]/(Tasks[[#This Row],[_FinishWorkday]]-Tasks[[#This Row],[_StartWorkday]]+1),0)</f>
        <v>0</v>
      </c>
      <c r="FU80" s="42" t="n">
        <f aca="false">Tasks[[#This Row],[_WorkPerWorkday]]*(Tasks[[#This Row],[_StartWorkday]]-1)</f>
        <v>-0</v>
      </c>
      <c r="FV80" s="42" t="n">
        <f aca="false">IF(Tasks[[#This Row],[_IsLeaf]]=1,MAX(N(Tasks[[#This Row],[_Days]]),0.1),0)</f>
        <v>0</v>
      </c>
      <c r="FW80" s="42" t="n">
        <f aca="false">Tasks[[#This Row],[_WeightDur]]*Tasks[[#This Row],[_LeafProgress]]</f>
        <v>0</v>
      </c>
      <c r="FX80" s="42" t="n">
        <f aca="false">Tasks[[#This Row],[_WeightDur]]*Tasks[[#This Row],[_PlannedPct]]</f>
        <v>0</v>
      </c>
      <c r="FY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0" s="42" t="str">
        <f aca="false">IF(AND(Tasks[[#This Row],[_IsLeaf]]=1,N(Tasks[[#This Row],[_Days]])=0,Tasks[[#This Row],[_LeafProgress]]&lt;1),Tasks[[#This Row],[_ShownFcstFinish]]+Tasks[[#This Row],[_Row]]/100000,"")</f>
        <v/>
      </c>
      <c r="GA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0" s="42" t="str">
        <f aca="false">IF(Tasks[[#This Row],[Task Name]]="","",LEFT(Tasks[[#This Row],[WBS]],FIND(".",Tasks[[#This Row],[WBS]]&amp;".")-1))</f>
        <v/>
      </c>
      <c r="GC80" s="42" t="str">
        <f aca="false">IF(AND(Tasks[[#This Row],[Task Name]]&lt;&gt;"",Tasks[[#This Row],[_Level]]=1),Tasks[[#This Row],[_Row]],"")</f>
        <v/>
      </c>
      <c r="GD80" s="42" t="str">
        <f aca="false">IF(AND(Tasks[[#This Row],[_IsLeaf]]=1,N(Tasks[[#This Row],[_Days]])=0),Tasks[[#This Row],[Planned Finish]]+Tasks[[#This Row],[_Row]]/100000,"")</f>
        <v/>
      </c>
      <c r="GE80" s="42" t="str">
        <f aca="false">IF(AND(Tasks[[#This Row],[_IsLeaf]]=1,Tasks[[#This Row],[_LeafProgress]]&lt;1,OR(N(Tasks[[#This Row],[Finish Var]])&gt;0,Tasks[[#This Row],[Status]]="Late Start")),MAX(0,Tasks[[#This Row],[Finish Var]])+1-Tasks[[#This Row],[_Row]]/1000000,"")</f>
        <v/>
      </c>
      <c r="GF80" s="42" t="str">
        <f aca="false">IF(AND(Tasks[[#This Row],[_IsLeaf]]=1,N(Tasks[[#This Row],[Actual Start]])=0,Tasks[[#This Row],[_ShownFcstStart]]&gt;=StatusDate,Tasks[[#This Row],[_ShownFcstStart]]&lt;=LookaheadEnd),Tasks[[#This Row],[_ShownFcstStart]]+Tasks[[#This Row],[_Row]]/100000,"")</f>
        <v/>
      </c>
      <c r="GG80" s="42" t="str">
        <f aca="false">IF(AND(Tasks[[#This Row],[_IsLeaf]]=1,Tasks[[#This Row],[_LeafProgress]]&lt;1,Tasks[[#This Row],[_ShownFcstFinish]]&gt;=StatusDate,Tasks[[#This Row],[_ShownFcstFinish]]&lt;=LookaheadEnd),Tasks[[#This Row],[_ShownFcstFinish]]+Tasks[[#This Row],[_Row]]/100000,"")</f>
        <v/>
      </c>
      <c r="GH80" s="42" t="str">
        <f aca="false">IF(Tasks[[#This Row],[_LeafCritical]],Tasks[[#This Row],[_ShownFcstStart]]+Tasks[[#This Row],[_Row]]/100000,"")</f>
        <v/>
      </c>
      <c r="GI80" s="42" t="n">
        <f aca="false">Tasks[[#This Row],[_LeafWork]]*Tasks[[#This Row],[_LeafProgress]]</f>
        <v>0</v>
      </c>
      <c r="GJ80" s="89" t="str">
        <f aca="false">IF(AND(Tasks[[#This Row],[_IsLeaf]]=1,Tasks[[#This Row],[_LeafProgress]]&gt;=1),IF(N(Tasks[[#This Row],[Actual Finish]])&gt;0,Tasks[[#This Row],[Actual Finish]],Tasks[[#This Row],[_ShownFcstFinish]]),"")</f>
        <v/>
      </c>
      <c r="GK80" s="42" t="n">
        <f aca="false">IF(Tasks[[#This Row],[_IsLeaf]]=1,N(Tasks[[#This Row],[Story Points]]),0)</f>
        <v>0</v>
      </c>
      <c r="GL80" s="42" t="str">
        <f aca="false">""</f>
        <v/>
      </c>
      <c r="GM80" s="88" t="b">
        <f aca="false">IF(Tasks[[#This Row],[Task Name]]="",FALSE(),AND(Tasks[[#This Row],[_IsLeaf]]=1,N(Tasks[[#This Row],[_Days]])=0))</f>
        <v>0</v>
      </c>
      <c r="GN80" s="89" t="n">
        <f aca="false">IF(Tasks[[#This Row],[Task Name]]="",0,IF(AND(Tasks[[#This Row],[_IsLeaf]]=1,NOT(Tasks[[#This Row],[_IsMilestone]]),N(Tasks[[#This Row],[Progress]])&gt;0),Tasks[[#This Row],[Start]],0))</f>
        <v>0</v>
      </c>
      <c r="GO80" s="89" t="n">
        <f aca="false">IF(Tasks[[#This Row],[_DoneFrom]]=0,0,IF(Tasks[[#This Row],[Progress]]&gt;=1,Tasks[[#This Row],[Finish]],MAX(Tasks[[#This Row],[_DoneFrom]],Tasks[[#This Row],[Start]]+ROUND((Tasks[[#This Row],[Finish]]-Tasks[[#This Row],[Start]]+1)*Tasks[[#This Row],[Progress]],0)-1)))</f>
        <v>0</v>
      </c>
      <c r="GP80" s="89" t="n">
        <f aca="false">IF(Tasks[[#This Row],[Task Name]]="",0,IF(OR(NOT(Tasks[[#This Row],[_IsLeaf]]=1),Tasks[[#This Row],[_IsMilestone]],N(Tasks[[#This Row],[Progress]])&gt;=1),0,IF(Tasks[[#This Row],[_DoneTo]]&gt;0,Tasks[[#This Row],[_DoneTo]]+1,Tasks[[#This Row],[Start]])))</f>
        <v>0</v>
      </c>
      <c r="GQ80" s="89" t="n">
        <f aca="false">IF(Tasks[[#This Row],[_RemFrom]]=0,0,Tasks[[#This Row],[Finish]])</f>
        <v>0</v>
      </c>
      <c r="GR80" s="88" t="b">
        <f aca="false">IF(Tasks[[#This Row],[Task Name]]="",FALSE(),OR(NOT(BaselineSet),N(Tasks[[#This Row],[Baseline Start]])&gt;0))</f>
        <v>0</v>
      </c>
      <c r="GS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0" s="90" t="str">
        <f aca="false">IF(Tasks[[#This Row],[_IsLeaf]]=1,Tasks[[#This Row],[_Row]],"")</f>
        <v/>
      </c>
      <c r="GW80" s="90" t="str">
        <f aca="false">IFERROR(INDEX(Tasks[UID],SMALL(Tasks[_PickKey],Tasks[[#This Row],[_Row]]))&amp;" "&amp;INDEX(Tasks[Task Name],SMALL(Tasks[_PickKey],Tasks[[#This Row],[_Row]])),"")</f>
        <v/>
      </c>
      <c r="GX80" s="42" t="str">
        <f aca="false">IF(Tasks[[#This Row],[Task Name]]="","",IF(Tasks[[#This Row],[_IsSummary]],NETWORKDAYS.INTL(Tasks[[#This Row],[Start]],Tasks[[#This Row],[Finish]],WorkWeek,Holidays),N(Tasks[[#This Row],[_Days]])))</f>
        <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3"/>
      <c r="U81" s="23"/>
      <c r="V81" s="83"/>
      <c r="W81" s="23"/>
      <c r="X81" s="83"/>
      <c r="Y81" s="23"/>
      <c r="Z81" s="83"/>
      <c r="AA81" s="23"/>
      <c r="AB81" s="23"/>
      <c r="AC81" s="7"/>
      <c r="AD81" s="7"/>
      <c r="AE81" s="62" t="str">
        <f aca="false">IF(Tasks[[#This Row],[Task Name]]="","",IF(Tasks[[#This Row],[_IsSummary]],MIN(INDEX(Tasks[_ShownFcstStart],Tasks[[#This Row],[_Row]]+1):INDEX(Tasks[_ShownFcstStart],Tasks[[#This Row],[_Row]]+Tasks[[#This Row],[_Descendants]])),Tasks[[#This Row],[_ShownFcstStart]]))</f>
        <v/>
      </c>
      <c r="AF81" s="62"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1" s="7"/>
      <c r="AK81" s="22"/>
      <c r="AL81" s="23"/>
      <c r="AM81" s="7"/>
      <c r="AN81" s="46"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2" t="str">
        <f aca="false">IF(Tasks[[#This Row],[Task Name]]="","",IF(N(Tasks[[#This Row],[Baseline Start]])&gt;0,Tasks[[#This Row],[Baseline Start]],Tasks[[#This Row],[_CalcStart]]))</f>
        <v/>
      </c>
      <c r="AR81" s="62" t="str">
        <f aca="false">IF(Tasks[[#This Row],[Task Name]]="","",IF(N(Tasks[[#This Row],[Baseline Finish]])&gt;0,Tasks[[#This Row],[Baseline Finish]],Tasks[[#This Row],[_CalcFinish]]))</f>
        <v/>
      </c>
      <c r="AS81" s="46" t="str">
        <f aca="false">IF(Tasks[[#This Row],[Task Name]]="","",IF(Tasks[[#This Row],[Start]]&gt;=Tasks[[#This Row],[Planned Start]],NETWORKDAYS.INTL(Tasks[[#This Row],[Planned Start]],Tasks[[#This Row],[Start]],WorkWeek,Holidays)-1,1-NETWORKDAYS.INTL(Tasks[[#This Row],[Start]],Tasks[[#This Row],[Planned Start]],WorkWeek,Holidays)))</f>
        <v/>
      </c>
      <c r="AT81" s="62" t="str">
        <f aca="false">IF(Tasks[[#This Row],[Task Name]]="","",IF(Tasks[[#This Row],[_IsSummary]],MIN(INDEX(Tasks[_LeafLateStart],Tasks[[#This Row],[_Row]]+1):INDEX(Tasks[_LeafLateStart],Tasks[[#This Row],[_Row]]+Tasks[[#This Row],[_Descendants]])),Tasks[[#This Row],[_LeafLateStart]]))</f>
        <v/>
      </c>
      <c r="AU81" s="62" t="str">
        <f aca="false">IF(Tasks[[#This Row],[Task Name]]="","",IF(Tasks[[#This Row],[_IsSummary]],MAX(INDEX(Tasks[_LeafLateFinish],Tasks[[#This Row],[_Row]]+1):INDEX(Tasks[_LeafLateFinish],Tasks[[#This Row],[_Row]]+Tasks[[#This Row],[_Descendants]])),Tasks[[#This Row],[_LeafLateFinish]]))</f>
        <v/>
      </c>
      <c r="AV81" s="46"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4"/>
      <c r="BA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5"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6"/>
      <c r="BJ81" s="22"/>
      <c r="BK81" s="46" t="str">
        <f aca="false">IF(OR(Tasks[[#This Row],[Task Name]]="",Tasks[[#This Row],[Baseline Duration]]=""),"",Tasks[[#This Row],[_SpanDays]]-N(Tasks[[#This Row],[Baseline Duration]]))</f>
        <v/>
      </c>
      <c r="BL81" s="85" t="str">
        <f aca="false">IF(OR(Tasks[[#This Row],[Task Name]]="",Tasks[[#This Row],[Baseline Work]]=""),"",Tasks[[#This Row],[Work]]-N(Tasks[[#This Row],[Baseline Work]]))</f>
        <v/>
      </c>
      <c r="BM81" s="62" t="str">
        <f aca="false">IF(Tasks[[#This Row],[Task Name]]="","",IF(OR(TakeBaseline="Yes",N(Tasks[[#This Row],[Baseline Start]])=0),Tasks[[#This Row],[Start]],Tasks[[#This Row],[Baseline Start]]))</f>
        <v/>
      </c>
      <c r="BN81" s="62"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5" t="str">
        <f aca="false">IF(Tasks[[#This Row],[Task Name]]="","",IF(OR(TakeBaseline="Yes",N(Tasks[[#This Row],[Baseline Work]])=0),Tasks[[#This Row],[Work]],Tasks[[#This Row],[Baseline Work]]))</f>
        <v/>
      </c>
      <c r="BQ81" s="7"/>
      <c r="BR81" s="7"/>
      <c r="BS81" s="22"/>
      <c r="BT81" s="87"/>
      <c r="BU81" s="42" t="str">
        <f aca="false">IF(Tasks[[#This Row],[Task Name]]="","",MAX(1,N(Tasks[[#This Row],[Level]])))</f>
        <v/>
      </c>
      <c r="BV81" s="42" t="n">
        <f aca="false">ROW()-ROW(Tasks[[#Headers],[ID]])</f>
        <v>76</v>
      </c>
      <c r="BW81" s="42" t="n">
        <f aca="false">IF(OR(Tasks[[#This Row],[Task Name]]="",Tasks[[#This Row],[_Level]]&lt;=1),0,IFERROR(LOOKUP(2,1/(Tasks[[#Headers],[_Level]]:Tasks[[#This Row],[_Level]]=Tasks[[#This Row],[_Level]]-1),ROW(Tasks[[#Headers],[_Level]]:Tasks[[#This Row],[_Level]])),0))</f>
        <v>0</v>
      </c>
      <c r="BX81" s="42" t="n">
        <f aca="false">IFERROR(N(INDEX(Tasks[_Level],Tasks[[#This Row],[_Row]]+1)),0)</f>
        <v>0</v>
      </c>
      <c r="BY81" s="88" t="b">
        <f aca="false">AND(Tasks[[#This Row],[Task Name]]&lt;&gt;"",Tasks[[#This Row],[_NextLevel]]&gt;Tasks[[#This Row],[_Level]])</f>
        <v>0</v>
      </c>
      <c r="BZ81" s="42" t="n">
        <f aca="false">IF(Tasks[[#This Row],[_IsSummary]],COUNTIF(Tasks[WBS],Tasks[[#This Row],[WBS]]&amp;".*"),0)</f>
        <v>0</v>
      </c>
      <c r="CA81" s="42" t="n">
        <f aca="false">IF(AND(Tasks[[#This Row],[Task Name]]&lt;&gt;"",NOT(Tasks[[#This Row],[_IsSummary]])),1,0)</f>
        <v>0</v>
      </c>
      <c r="CB81" s="42" t="n">
        <f aca="false">IF(N(Tasks[[#This Row],[_Pred1UID]])=0,0,IFERROR(MATCH(Tasks[[#This Row],[_Pred1UID]],Tasks[UID],0),-1))</f>
        <v>0</v>
      </c>
      <c r="CC81" s="42" t="n">
        <f aca="false">IF(N(Tasks[[#This Row],[_Pred2UID]])=0,0,IFERROR(MATCH(Tasks[[#This Row],[_Pred2UID]],Tasks[UID],0),-1))</f>
        <v>0</v>
      </c>
      <c r="CD81" s="42" t="n">
        <f aca="false">IF(N(Tasks[[#This Row],[_Pred3UID]])=0,0,IFERROR(MATCH(Tasks[[#This Row],[_Pred3UID]],Tasks[UID],0),-1))</f>
        <v>0</v>
      </c>
      <c r="CE81" s="42" t="n">
        <f aca="false">IF(N(Tasks[[#This Row],[_Pred4UID]])=0,0,IFERROR(MATCH(Tasks[[#This Row],[_Pred4UID]],Tasks[UID],0),-1))</f>
        <v>0</v>
      </c>
      <c r="CF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1" s="89" t="n">
        <f aca="false">IF(OR(Tasks[[#This Row],[_ConstraintCode]]=2,Tasks[[#This Row],[_ConstraintCode]]=3,Tasks[[#This Row],[_ConstraintCode]]=4,Tasks[[#This Row],[_ConstraintCode]]=6),Tasks[[#This Row],[_ConstraintStart]],0)</f>
        <v>0</v>
      </c>
      <c r="CI81" s="89" t="n">
        <f aca="false">IF(OR(Tasks[[#This Row],[_ConstraintCode]]=2,Tasks[[#This Row],[_ConstraintCode]]=3,Tasks[[#This Row],[_ConstraintCode]]=5,Tasks[[#This Row],[_ConstraintCode]]=7),Tasks[[#This Row],[_ConstraintStart]],2958465)</f>
        <v>2958465</v>
      </c>
      <c r="CJ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1" s="89" t="str">
        <f aca="false">IF(NOT(Tasks[[#This Row],[_IsLeaf]]=1),"",IF(N(Tasks[[#This Row],[_Days]])&lt;=0,Tasks[[#This Row],[_LeafCalcStart]],WORKDAY.INTL(Tasks[[#This Row],[_LeafCalcStart]],Tasks[[#This Row],[_Days]]-1,WorkWeek,Holidays)))</f>
        <v/>
      </c>
      <c r="CL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1" s="42" t="str">
        <f aca="false">IF(Tasks[[#This Row],[_Predecessors]]="","",TRIM(MID(SUBSTITUTE(SUBSTITUTE(SUBSTITUTE(UPPER(Tasks[[#This Row],[_Predecessors]]),";",",")," ",""),",",REPT(" ",99)),1,99)))</f>
        <v/>
      </c>
      <c r="CO81" s="42" t="str">
        <f aca="false">IF(Tasks[[#This Row],[_Pred1Text]]="","",IFERROR(VALUE(LEFT(Tasks[[#This Row],[_Pred1Text]],MIN(FIND("F",Tasks[[#This Row],[_Pred1Text]]&amp;"F"),FIND("S",Tasks[[#This Row],[_Pred1Text]]&amp;"S"),FIND("+",Tasks[[#This Row],[_Pred1Text]]&amp;"+"),FIND("-",Tasks[[#This Row],[_Pred1Text]]&amp;"-"))-1)),""))</f>
        <v/>
      </c>
      <c r="CP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1" s="42" t="str">
        <f aca="false">IF(Tasks[[#This Row],[_Pred1Text]]="","",TRIM(MID(SUBSTITUTE(SUBSTITUTE(SUBSTITUTE(UPPER(Tasks[[#This Row],[_Predecessors]]),";",",")," ",""),",",REPT(" ",99)),100,99)))</f>
        <v/>
      </c>
      <c r="CS81" s="42" t="str">
        <f aca="false">IF(Tasks[[#This Row],[_Pred2Text]]="","",IFERROR(VALUE(LEFT(Tasks[[#This Row],[_Pred2Text]],MIN(FIND("F",Tasks[[#This Row],[_Pred2Text]]&amp;"F"),FIND("S",Tasks[[#This Row],[_Pred2Text]]&amp;"S"),FIND("+",Tasks[[#This Row],[_Pred2Text]]&amp;"+"),FIND("-",Tasks[[#This Row],[_Pred2Text]]&amp;"-"))-1)),""))</f>
        <v/>
      </c>
      <c r="CT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1" s="42" t="str">
        <f aca="false">IF(Tasks[[#This Row],[_Pred2Text]]="","",TRIM(MID(SUBSTITUTE(SUBSTITUTE(SUBSTITUTE(UPPER(Tasks[[#This Row],[_Predecessors]]),";",",")," ",""),",",REPT(" ",99)),199,99)))</f>
        <v/>
      </c>
      <c r="CW81" s="42" t="str">
        <f aca="false">IF(Tasks[[#This Row],[_Pred3Text]]="","",IFERROR(VALUE(LEFT(Tasks[[#This Row],[_Pred3Text]],MIN(FIND("F",Tasks[[#This Row],[_Pred3Text]]&amp;"F"),FIND("S",Tasks[[#This Row],[_Pred3Text]]&amp;"S"),FIND("+",Tasks[[#This Row],[_Pred3Text]]&amp;"+"),FIND("-",Tasks[[#This Row],[_Pred3Text]]&amp;"-"))-1)),""))</f>
        <v/>
      </c>
      <c r="CX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1" s="42" t="str">
        <f aca="false">IF(Tasks[[#This Row],[_Pred3Text]]="","",TRIM(MID(SUBSTITUTE(SUBSTITUTE(SUBSTITUTE(UPPER(Tasks[[#This Row],[_Predecessors]]),";",",")," ",""),",",REPT(" ",99)),298,99)))</f>
        <v/>
      </c>
      <c r="DA81" s="42" t="str">
        <f aca="false">IF(Tasks[[#This Row],[_Pred4Text]]="","",IFERROR(VALUE(LEFT(Tasks[[#This Row],[_Pred4Text]],MIN(FIND("F",Tasks[[#This Row],[_Pred4Text]]&amp;"F"),FIND("S",Tasks[[#This Row],[_Pred4Text]]&amp;"S"),FIND("+",Tasks[[#This Row],[_Pred4Text]]&amp;"+"),FIND("-",Tasks[[#This Row],[_Pred4Text]]&amp;"-"))-1)),""))</f>
        <v/>
      </c>
      <c r="DB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1" s="42" t="str">
        <f aca="false">IF(OR(Tasks[[#This Row],[Task Name]]="",Tasks[[#This Row],[_Resources]]=""),"",TRIM(MID(SUBSTITUTE(Tasks[[#This Row],[_Resources]],",",REPT(" ",99)),1,99)))</f>
        <v/>
      </c>
      <c r="DE81" s="42" t="str">
        <f aca="false">IF(Tasks[[#This Row],[_Res1Text]]="","",TRIM(MID(SUBSTITUTE(Tasks[[#This Row],[_Resources]],",",REPT(" ",99)),100,99)))</f>
        <v/>
      </c>
      <c r="DF81" s="42" t="str">
        <f aca="false">IF(Tasks[[#This Row],[_Res2Text]]="","",TRIM(MID(SUBSTITUTE(Tasks[[#This Row],[_Resources]],",",REPT(" ",99)),199,99)))</f>
        <v/>
      </c>
      <c r="DG81" s="42" t="str">
        <f aca="false">IF(Tasks[[#This Row],[_Res3Text]]="","",TRIM(MID(SUBSTITUTE(Tasks[[#This Row],[_Resources]],",",REPT(" ",99)),298,99)))</f>
        <v/>
      </c>
      <c r="DH81" s="42" t="n">
        <f aca="false">IF(Tasks[[#This Row],[_Res1Text]]="",0,IFERROR(MATCH(TRIM(LEFT(Tasks[[#This Row],[_Res1Text]],FIND("[",Tasks[[#This Row],[_Res1Text]]&amp;"[")-1)),res_Name,0),IFERROR(MATCH(TRIM(LEFT(Tasks[[#This Row],[_Res1Text]],FIND("[",Tasks[[#This Row],[_Res1Text]]&amp;"[")-1)),res_Initials,0),0)))</f>
        <v>0</v>
      </c>
      <c r="DI81" s="42" t="n">
        <f aca="false">IF(Tasks[[#This Row],[_Res2Text]]="",0,IFERROR(MATCH(TRIM(LEFT(Tasks[[#This Row],[_Res2Text]],FIND("[",Tasks[[#This Row],[_Res2Text]]&amp;"[")-1)),res_Name,0),IFERROR(MATCH(TRIM(LEFT(Tasks[[#This Row],[_Res2Text]],FIND("[",Tasks[[#This Row],[_Res2Text]]&amp;"[")-1)),res_Initials,0),0)))</f>
        <v>0</v>
      </c>
      <c r="DJ81" s="42" t="n">
        <f aca="false">IF(Tasks[[#This Row],[_Res3Text]]="",0,IFERROR(MATCH(TRIM(LEFT(Tasks[[#This Row],[_Res3Text]],FIND("[",Tasks[[#This Row],[_Res3Text]]&amp;"[")-1)),res_Name,0),IFERROR(MATCH(TRIM(LEFT(Tasks[[#This Row],[_Res3Text]],FIND("[",Tasks[[#This Row],[_Res3Text]]&amp;"[")-1)),res_Initials,0),0)))</f>
        <v>0</v>
      </c>
      <c r="DK81" s="42" t="n">
        <f aca="false">IF(Tasks[[#This Row],[_Res4Text]]="",0,IFERROR(MATCH(TRIM(LEFT(Tasks[[#This Row],[_Res4Text]],FIND("[",Tasks[[#This Row],[_Res4Text]]&amp;"[")-1)),res_Name,0),IFERROR(MATCH(TRIM(LEFT(Tasks[[#This Row],[_Res4Text]],FIND("[",Tasks[[#This Row],[_Res4Text]]&amp;"[")-1)),res_Initials,0),0)))</f>
        <v>0</v>
      </c>
      <c r="DL81" s="42" t="str">
        <f aca="false">IF(Tasks[[#This Row],[_Res1Text]]="","",IF(Tasks[[#This Row],[_Res1Row]]&gt;0,INDEX(res_Name,Tasks[[#This Row],[_Res1Row]]),TRIM(LEFT(Tasks[[#This Row],[_Res1Text]],FIND("[",Tasks[[#This Row],[_Res1Text]]&amp;"[")-1))))</f>
        <v/>
      </c>
      <c r="DM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1" s="42" t="n">
        <f aca="false">IF(NOT(Tasks[[#This Row],[_IsLeaf]]=1),0,(Tasks[[#This Row],[_Resource1]]&lt;&gt;"")+(Tasks[[#This Row],[_Res2]]&lt;&gt;"")+(Tasks[[#This Row],[_Res3]]&lt;&gt;"")+(Tasks[[#This Row],[_Res4]]&lt;&gt;""))</f>
        <v>0</v>
      </c>
      <c r="DO81" s="42" t="str">
        <f aca="false">IF(Tasks[[#This Row],[_Res2Text]]="","",IF(Tasks[[#This Row],[_Res2Row]]&gt;0,INDEX(res_Name,Tasks[[#This Row],[_Res2Row]]),TRIM(LEFT(Tasks[[#This Row],[_Res2Text]],FIND("[",Tasks[[#This Row],[_Res2Text]]&amp;"[")-1))))</f>
        <v/>
      </c>
      <c r="DP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1" s="42" t="n">
        <f aca="false">IF(OR(NOT(Tasks[[#This Row],[_IsLeaf]]=1),Tasks[[#This Row],[_Res2Row]]=0),0,N(Tasks[[#This Row],[_Days]])*HoursPerDay*IF(Tasks[[#This Row],[_Res2Units]]="",DefaultUnits,Tasks[[#This Row],[_Res2Units]]))</f>
        <v>0</v>
      </c>
      <c r="DR81" s="42" t="n">
        <f aca="false">IF(AND(AND(Tasks[[#This Row],[_IsLeaf]]=1,Tasks[[#This Row],[_LeafTotalWork]]&gt;0),Tasks[[#This Row],[_Res2Work]]&gt;0),Tasks[[#This Row],[_Res2Work]]/(Tasks[[#This Row],[_FinishWorkday]]-Tasks[[#This Row],[_StartWorkday]]+1),0)</f>
        <v>0</v>
      </c>
      <c r="DS81" s="42" t="n">
        <f aca="false">Tasks[[#This Row],[_Res2WorkPerWD]]*MAX(0,Tasks[[#This Row],[_StartWorkday]]-1)</f>
        <v>0</v>
      </c>
      <c r="DT81" s="42" t="n">
        <f aca="false">Tasks[[#This Row],[_Res2Work]]*Tasks[[#This Row],[_LeafProgress]]</f>
        <v>0</v>
      </c>
      <c r="DU81" s="42" t="str">
        <f aca="false">IF(Tasks[[#This Row],[_Res3Text]]="","",IF(Tasks[[#This Row],[_Res3Row]]&gt;0,INDEX(res_Name,Tasks[[#This Row],[_Res3Row]]),TRIM(LEFT(Tasks[[#This Row],[_Res3Text]],FIND("[",Tasks[[#This Row],[_Res3Text]]&amp;"[")-1))))</f>
        <v/>
      </c>
      <c r="DV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1" s="42" t="n">
        <f aca="false">IF(OR(NOT(Tasks[[#This Row],[_IsLeaf]]=1),Tasks[[#This Row],[_Res3Row]]=0),0,N(Tasks[[#This Row],[_Days]])*HoursPerDay*IF(Tasks[[#This Row],[_Res3Units]]="",DefaultUnits,Tasks[[#This Row],[_Res3Units]]))</f>
        <v>0</v>
      </c>
      <c r="DX81" s="42" t="n">
        <f aca="false">IF(AND(AND(Tasks[[#This Row],[_IsLeaf]]=1,Tasks[[#This Row],[_LeafTotalWork]]&gt;0),Tasks[[#This Row],[_Res3Work]]&gt;0),Tasks[[#This Row],[_Res3Work]]/(Tasks[[#This Row],[_FinishWorkday]]-Tasks[[#This Row],[_StartWorkday]]+1),0)</f>
        <v>0</v>
      </c>
      <c r="DY81" s="42" t="n">
        <f aca="false">Tasks[[#This Row],[_Res3WorkPerWD]]*MAX(0,Tasks[[#This Row],[_StartWorkday]]-1)</f>
        <v>0</v>
      </c>
      <c r="DZ81" s="42" t="n">
        <f aca="false">Tasks[[#This Row],[_Res3Work]]*Tasks[[#This Row],[_LeafProgress]]</f>
        <v>0</v>
      </c>
      <c r="EA81" s="42" t="str">
        <f aca="false">IF(Tasks[[#This Row],[_Res4Text]]="","",IF(Tasks[[#This Row],[_Res4Row]]&gt;0,INDEX(res_Name,Tasks[[#This Row],[_Res4Row]]),TRIM(LEFT(Tasks[[#This Row],[_Res4Text]],FIND("[",Tasks[[#This Row],[_Res4Text]]&amp;"[")-1))))</f>
        <v/>
      </c>
      <c r="EB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1" s="42" t="n">
        <f aca="false">IF(OR(NOT(Tasks[[#This Row],[_IsLeaf]]=1),Tasks[[#This Row],[_Res4Row]]=0),0,N(Tasks[[#This Row],[_Days]])*HoursPerDay*IF(Tasks[[#This Row],[_Res4Units]]="",DefaultUnits,Tasks[[#This Row],[_Res4Units]]))</f>
        <v>0</v>
      </c>
      <c r="ED81" s="42" t="n">
        <f aca="false">IF(AND(AND(Tasks[[#This Row],[_IsLeaf]]=1,Tasks[[#This Row],[_LeafTotalWork]]&gt;0),Tasks[[#This Row],[_Res4Work]]&gt;0),Tasks[[#This Row],[_Res4Work]]/(Tasks[[#This Row],[_FinishWorkday]]-Tasks[[#This Row],[_StartWorkday]]+1),0)</f>
        <v>0</v>
      </c>
      <c r="EE81" s="42" t="n">
        <f aca="false">Tasks[[#This Row],[_Res4WorkPerWD]]*MAX(0,Tasks[[#This Row],[_StartWorkday]]-1)</f>
        <v>0</v>
      </c>
      <c r="EF81" s="42" t="n">
        <f aca="false">Tasks[[#This Row],[_Res4Work]]*Tasks[[#This Row],[_LeafProgress]]</f>
        <v>0</v>
      </c>
      <c r="EG81" s="42" t="n">
        <f aca="false">IF(ISNUMBER(Tasks[[#This Row],[% Complete]]),Tasks[[#This Row],[% Complete]],IF(Tasks[[#This Row],[Stage]]="",0,IFERROR(INDEX(stg_Pct,MATCH(Tasks[[#This Row],[Stage]],stg_Name,0)),0)))</f>
        <v>0</v>
      </c>
      <c r="EH81" s="42" t="n">
        <f aca="false">IF(NOT(Tasks[[#This Row],[_IsLeaf]]=1),0,IF(N(Tasks[[#This Row],[Actual Finish]])&gt;0,1,MIN(1,Tasks[[#This Row],[_Pct]])))</f>
        <v>0</v>
      </c>
      <c r="EI81" s="42" t="n">
        <f aca="false">IF(OR(NOT(Tasks[[#This Row],[_IsLeaf]]=1),Tasks[[#This Row],[_Res1Row]]=0),0,N(Tasks[[#This Row],[_Days]])*HoursPerDay*IF(Tasks[[#This Row],[_Units1]]="",DefaultUnits,Tasks[[#This Row],[_Units1]]))</f>
        <v>0</v>
      </c>
      <c r="EJ81" s="42" t="n">
        <f aca="false">Tasks[[#This Row],[_LeafWork]]+Tasks[[#This Row],[_Res2Work]]+Tasks[[#This Row],[_Res3Work]]+Tasks[[#This Row],[_Res4Work]]</f>
        <v>0</v>
      </c>
      <c r="EK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1" s="42" t="n">
        <f aca="false">IF(NOT(Tasks[[#This Row],[_IsLeaf]]=1),0,MAX(_xlfn.MAXIFS(Tasks[_Row],Tasks[_Pred1UID],Tasks[[#This Row],[UID]]),_xlfn.MAXIFS(Tasks[_Row],Tasks[_Pred2UID],Tasks[[#This Row],[UID]]),_xlfn.MAXIFS(Tasks[_Row],Tasks[_Pred3UID],Tasks[[#This Row],[UID]]),_xlfn.MAXIFS(Tasks[_Row],Tasks[_Pred4UID],Tasks[[#This Row],[UID]])))</f>
        <v>0</v>
      </c>
      <c r="ET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1" s="89" t="str">
        <f aca="false">IF(NOT(Tasks[[#This Row],[_IsLeaf]]=1),"",IF(N(Tasks[[#This Row],[_Days]])&lt;=0,Tasks[[#This Row],[_LeafLateFinish]],WORKDAY.INTL(Tasks[[#This Row],[_LeafLateFinish]],-(Tasks[[#This Row],[_Days]]-1),WorkWeek,Holidays)))</f>
        <v/>
      </c>
      <c r="EW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1" s="88" t="b">
        <f aca="false">AND(Tasks[[#This Row],[_IsLeaf]]=1,Tasks[[#This Row],[_LeafProgress]]&lt;1,N(Tasks[[#This Row],[_LeafTotalSlack]])&lt;=CriticalSlackDays)</f>
        <v>0</v>
      </c>
      <c r="EY81" s="42" t="n">
        <f aca="false">IF(AND(Tasks[[#This Row],[_IsLeaf]]=1,Tasks[[#This Row],[_ConstraintCode]]=1,Tasks[[#This Row],[Mode]]&lt;&gt;"Manual",N(Tasks[[#This Row],[Actual Start]])=0),MAX(0,N(Tasks[[#This Row],[Free Slack]])),0)</f>
        <v>0</v>
      </c>
      <c r="EZ81" s="89" t="str">
        <f aca="false">IF(NOT(Tasks[[#This Row],[_IsLeaf]]=1),"",IF(Tasks[[#This Row],[_AlapShift]]=0,Tasks[[#This Row],[_LeafCalcStart]],WORKDAY.INTL(Tasks[[#This Row],[_LeafCalcStart]],Tasks[[#This Row],[_AlapShift]],WorkWeek,Holidays)))</f>
        <v/>
      </c>
      <c r="FA81" s="89" t="str">
        <f aca="false">IF(NOT(Tasks[[#This Row],[_IsLeaf]]=1),"",IF(Tasks[[#This Row],[_AlapShift]]=0,Tasks[[#This Row],[_LeafCalcFinish]],WORKDAY.INTL(Tasks[[#This Row],[_LeafCalcFinish]],Tasks[[#This Row],[_AlapShift]],WorkWeek,Holidays)))</f>
        <v/>
      </c>
      <c r="FB81" s="89" t="str">
        <f aca="false">IF(NOT(Tasks[[#This Row],[_IsLeaf]]=1),"",IF(Tasks[[#This Row],[_AlapShift]]=0,Tasks[[#This Row],[_LeafFcstStart]],WORKDAY.INTL(Tasks[[#This Row],[_LeafFcstStart]],Tasks[[#This Row],[_AlapShift]],WorkWeek,Holidays)))</f>
        <v/>
      </c>
      <c r="FC81" s="89" t="str">
        <f aca="false">IF(NOT(Tasks[[#This Row],[_IsLeaf]]=1),"",IF(Tasks[[#This Row],[_AlapShift]]=0,Tasks[[#This Row],[_LeafFcstFinish]],WORKDAY.INTL(Tasks[[#This Row],[_LeafFcstFinish]],Tasks[[#This Row],[_AlapShift]],WorkWeek,Holidays)))</f>
        <v/>
      </c>
      <c r="FD81" s="89" t="str">
        <f aca="false">IF(Tasks[[#This Row],[Task Name]]="","",IF(Tasks[[#This Row],[_IsSummary]],MIN(INDEX(Tasks[_ShownCalcStart],Tasks[[#This Row],[_Row]]+1):INDEX(Tasks[_ShownCalcStart],Tasks[[#This Row],[_Row]]+Tasks[[#This Row],[_Descendants]])),Tasks[[#This Row],[_ShownCalcStart]]))</f>
        <v/>
      </c>
      <c r="FE81" s="89" t="str">
        <f aca="false">IF(Tasks[[#This Row],[Task Name]]="","",IF(Tasks[[#This Row],[_IsSummary]],MAX(INDEX(Tasks[_ShownCalcFinish],Tasks[[#This Row],[_Row]]+1):INDEX(Tasks[_ShownCalcFinish],Tasks[[#This Row],[_Row]]+Tasks[[#This Row],[_Descendants]])),Tasks[[#This Row],[_ShownCalcFinish]]))</f>
        <v/>
      </c>
      <c r="FF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1" s="42" t="n">
        <f aca="false">IF(AND(Tasks[[#This Row],[_IsLeaf]]=1,Tasks[[#This Row],[_LeafTotalWork]]&gt;0),NETWORKDAYS.INTL(ProjectStart,Tasks[[#This Row],[_ShownFcstStart]],WorkWeek,Holidays),0)</f>
        <v>0</v>
      </c>
      <c r="FS81" s="42" t="n">
        <f aca="false">IF(AND(Tasks[[#This Row],[_IsLeaf]]=1,Tasks[[#This Row],[_LeafTotalWork]]&gt;0),MAX(Tasks[[#This Row],[_StartWorkday]],NETWORKDAYS.INTL(ProjectStart,Tasks[[#This Row],[_ShownFcstFinish]],WorkWeek,Holidays)),0)</f>
        <v>0</v>
      </c>
      <c r="FT81" s="42" t="n">
        <f aca="false">IF(AND(Tasks[[#This Row],[_IsLeaf]]=1,Tasks[[#This Row],[_LeafTotalWork]]&gt;0),Tasks[[#This Row],[_LeafWork]]/(Tasks[[#This Row],[_FinishWorkday]]-Tasks[[#This Row],[_StartWorkday]]+1),0)</f>
        <v>0</v>
      </c>
      <c r="FU81" s="42" t="n">
        <f aca="false">Tasks[[#This Row],[_WorkPerWorkday]]*(Tasks[[#This Row],[_StartWorkday]]-1)</f>
        <v>-0</v>
      </c>
      <c r="FV81" s="42" t="n">
        <f aca="false">IF(Tasks[[#This Row],[_IsLeaf]]=1,MAX(N(Tasks[[#This Row],[_Days]]),0.1),0)</f>
        <v>0</v>
      </c>
      <c r="FW81" s="42" t="n">
        <f aca="false">Tasks[[#This Row],[_WeightDur]]*Tasks[[#This Row],[_LeafProgress]]</f>
        <v>0</v>
      </c>
      <c r="FX81" s="42" t="n">
        <f aca="false">Tasks[[#This Row],[_WeightDur]]*Tasks[[#This Row],[_PlannedPct]]</f>
        <v>0</v>
      </c>
      <c r="FY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1" s="42" t="str">
        <f aca="false">IF(AND(Tasks[[#This Row],[_IsLeaf]]=1,N(Tasks[[#This Row],[_Days]])=0,Tasks[[#This Row],[_LeafProgress]]&lt;1),Tasks[[#This Row],[_ShownFcstFinish]]+Tasks[[#This Row],[_Row]]/100000,"")</f>
        <v/>
      </c>
      <c r="GA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1" s="42" t="str">
        <f aca="false">IF(Tasks[[#This Row],[Task Name]]="","",LEFT(Tasks[[#This Row],[WBS]],FIND(".",Tasks[[#This Row],[WBS]]&amp;".")-1))</f>
        <v/>
      </c>
      <c r="GC81" s="42" t="str">
        <f aca="false">IF(AND(Tasks[[#This Row],[Task Name]]&lt;&gt;"",Tasks[[#This Row],[_Level]]=1),Tasks[[#This Row],[_Row]],"")</f>
        <v/>
      </c>
      <c r="GD81" s="42" t="str">
        <f aca="false">IF(AND(Tasks[[#This Row],[_IsLeaf]]=1,N(Tasks[[#This Row],[_Days]])=0),Tasks[[#This Row],[Planned Finish]]+Tasks[[#This Row],[_Row]]/100000,"")</f>
        <v/>
      </c>
      <c r="GE81" s="42" t="str">
        <f aca="false">IF(AND(Tasks[[#This Row],[_IsLeaf]]=1,Tasks[[#This Row],[_LeafProgress]]&lt;1,OR(N(Tasks[[#This Row],[Finish Var]])&gt;0,Tasks[[#This Row],[Status]]="Late Start")),MAX(0,Tasks[[#This Row],[Finish Var]])+1-Tasks[[#This Row],[_Row]]/1000000,"")</f>
        <v/>
      </c>
      <c r="GF81" s="42" t="str">
        <f aca="false">IF(AND(Tasks[[#This Row],[_IsLeaf]]=1,N(Tasks[[#This Row],[Actual Start]])=0,Tasks[[#This Row],[_ShownFcstStart]]&gt;=StatusDate,Tasks[[#This Row],[_ShownFcstStart]]&lt;=LookaheadEnd),Tasks[[#This Row],[_ShownFcstStart]]+Tasks[[#This Row],[_Row]]/100000,"")</f>
        <v/>
      </c>
      <c r="GG81" s="42" t="str">
        <f aca="false">IF(AND(Tasks[[#This Row],[_IsLeaf]]=1,Tasks[[#This Row],[_LeafProgress]]&lt;1,Tasks[[#This Row],[_ShownFcstFinish]]&gt;=StatusDate,Tasks[[#This Row],[_ShownFcstFinish]]&lt;=LookaheadEnd),Tasks[[#This Row],[_ShownFcstFinish]]+Tasks[[#This Row],[_Row]]/100000,"")</f>
        <v/>
      </c>
      <c r="GH81" s="42" t="str">
        <f aca="false">IF(Tasks[[#This Row],[_LeafCritical]],Tasks[[#This Row],[_ShownFcstStart]]+Tasks[[#This Row],[_Row]]/100000,"")</f>
        <v/>
      </c>
      <c r="GI81" s="42" t="n">
        <f aca="false">Tasks[[#This Row],[_LeafWork]]*Tasks[[#This Row],[_LeafProgress]]</f>
        <v>0</v>
      </c>
      <c r="GJ81" s="89" t="str">
        <f aca="false">IF(AND(Tasks[[#This Row],[_IsLeaf]]=1,Tasks[[#This Row],[_LeafProgress]]&gt;=1),IF(N(Tasks[[#This Row],[Actual Finish]])&gt;0,Tasks[[#This Row],[Actual Finish]],Tasks[[#This Row],[_ShownFcstFinish]]),"")</f>
        <v/>
      </c>
      <c r="GK81" s="42" t="n">
        <f aca="false">IF(Tasks[[#This Row],[_IsLeaf]]=1,N(Tasks[[#This Row],[Story Points]]),0)</f>
        <v>0</v>
      </c>
      <c r="GL81" s="42" t="str">
        <f aca="false">""</f>
        <v/>
      </c>
      <c r="GM81" s="88" t="b">
        <f aca="false">IF(Tasks[[#This Row],[Task Name]]="",FALSE(),AND(Tasks[[#This Row],[_IsLeaf]]=1,N(Tasks[[#This Row],[_Days]])=0))</f>
        <v>0</v>
      </c>
      <c r="GN81" s="89" t="n">
        <f aca="false">IF(Tasks[[#This Row],[Task Name]]="",0,IF(AND(Tasks[[#This Row],[_IsLeaf]]=1,NOT(Tasks[[#This Row],[_IsMilestone]]),N(Tasks[[#This Row],[Progress]])&gt;0),Tasks[[#This Row],[Start]],0))</f>
        <v>0</v>
      </c>
      <c r="GO81" s="89" t="n">
        <f aca="false">IF(Tasks[[#This Row],[_DoneFrom]]=0,0,IF(Tasks[[#This Row],[Progress]]&gt;=1,Tasks[[#This Row],[Finish]],MAX(Tasks[[#This Row],[_DoneFrom]],Tasks[[#This Row],[Start]]+ROUND((Tasks[[#This Row],[Finish]]-Tasks[[#This Row],[Start]]+1)*Tasks[[#This Row],[Progress]],0)-1)))</f>
        <v>0</v>
      </c>
      <c r="GP81" s="89" t="n">
        <f aca="false">IF(Tasks[[#This Row],[Task Name]]="",0,IF(OR(NOT(Tasks[[#This Row],[_IsLeaf]]=1),Tasks[[#This Row],[_IsMilestone]],N(Tasks[[#This Row],[Progress]])&gt;=1),0,IF(Tasks[[#This Row],[_DoneTo]]&gt;0,Tasks[[#This Row],[_DoneTo]]+1,Tasks[[#This Row],[Start]])))</f>
        <v>0</v>
      </c>
      <c r="GQ81" s="89" t="n">
        <f aca="false">IF(Tasks[[#This Row],[_RemFrom]]=0,0,Tasks[[#This Row],[Finish]])</f>
        <v>0</v>
      </c>
      <c r="GR81" s="88" t="b">
        <f aca="false">IF(Tasks[[#This Row],[Task Name]]="",FALSE(),OR(NOT(BaselineSet),N(Tasks[[#This Row],[Baseline Start]])&gt;0))</f>
        <v>0</v>
      </c>
      <c r="GS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1" s="90" t="str">
        <f aca="false">IF(Tasks[[#This Row],[_IsLeaf]]=1,Tasks[[#This Row],[_Row]],"")</f>
        <v/>
      </c>
      <c r="GW81" s="90" t="str">
        <f aca="false">IFERROR(INDEX(Tasks[UID],SMALL(Tasks[_PickKey],Tasks[[#This Row],[_Row]]))&amp;" "&amp;INDEX(Tasks[Task Name],SMALL(Tasks[_PickKey],Tasks[[#This Row],[_Row]])),"")</f>
        <v/>
      </c>
      <c r="GX81" s="42" t="str">
        <f aca="false">IF(Tasks[[#This Row],[Task Name]]="","",IF(Tasks[[#This Row],[_IsSummary]],NETWORKDAYS.INTL(Tasks[[#This Row],[Start]],Tasks[[#This Row],[Finish]],WorkWeek,Holidays),N(Tasks[[#This Row],[_Days]])))</f>
        <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3"/>
      <c r="U82" s="23"/>
      <c r="V82" s="83"/>
      <c r="W82" s="23"/>
      <c r="X82" s="83"/>
      <c r="Y82" s="23"/>
      <c r="Z82" s="83"/>
      <c r="AA82" s="23"/>
      <c r="AB82" s="23"/>
      <c r="AC82" s="7"/>
      <c r="AD82" s="7"/>
      <c r="AE82" s="62" t="str">
        <f aca="false">IF(Tasks[[#This Row],[Task Name]]="","",IF(Tasks[[#This Row],[_IsSummary]],MIN(INDEX(Tasks[_ShownFcstStart],Tasks[[#This Row],[_Row]]+1):INDEX(Tasks[_ShownFcstStart],Tasks[[#This Row],[_Row]]+Tasks[[#This Row],[_Descendants]])),Tasks[[#This Row],[_ShownFcstStart]]))</f>
        <v/>
      </c>
      <c r="AF82" s="62"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2" s="7"/>
      <c r="AK82" s="22"/>
      <c r="AL82" s="23"/>
      <c r="AM82" s="7"/>
      <c r="AN82" s="46"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2" t="str">
        <f aca="false">IF(Tasks[[#This Row],[Task Name]]="","",IF(N(Tasks[[#This Row],[Baseline Start]])&gt;0,Tasks[[#This Row],[Baseline Start]],Tasks[[#This Row],[_CalcStart]]))</f>
        <v/>
      </c>
      <c r="AR82" s="62" t="str">
        <f aca="false">IF(Tasks[[#This Row],[Task Name]]="","",IF(N(Tasks[[#This Row],[Baseline Finish]])&gt;0,Tasks[[#This Row],[Baseline Finish]],Tasks[[#This Row],[_CalcFinish]]))</f>
        <v/>
      </c>
      <c r="AS82" s="46" t="str">
        <f aca="false">IF(Tasks[[#This Row],[Task Name]]="","",IF(Tasks[[#This Row],[Start]]&gt;=Tasks[[#This Row],[Planned Start]],NETWORKDAYS.INTL(Tasks[[#This Row],[Planned Start]],Tasks[[#This Row],[Start]],WorkWeek,Holidays)-1,1-NETWORKDAYS.INTL(Tasks[[#This Row],[Start]],Tasks[[#This Row],[Planned Start]],WorkWeek,Holidays)))</f>
        <v/>
      </c>
      <c r="AT82" s="62" t="str">
        <f aca="false">IF(Tasks[[#This Row],[Task Name]]="","",IF(Tasks[[#This Row],[_IsSummary]],MIN(INDEX(Tasks[_LeafLateStart],Tasks[[#This Row],[_Row]]+1):INDEX(Tasks[_LeafLateStart],Tasks[[#This Row],[_Row]]+Tasks[[#This Row],[_Descendants]])),Tasks[[#This Row],[_LeafLateStart]]))</f>
        <v/>
      </c>
      <c r="AU82" s="62" t="str">
        <f aca="false">IF(Tasks[[#This Row],[Task Name]]="","",IF(Tasks[[#This Row],[_IsSummary]],MAX(INDEX(Tasks[_LeafLateFinish],Tasks[[#This Row],[_Row]]+1):INDEX(Tasks[_LeafLateFinish],Tasks[[#This Row],[_Row]]+Tasks[[#This Row],[_Descendants]])),Tasks[[#This Row],[_LeafLateFinish]]))</f>
        <v/>
      </c>
      <c r="AV82" s="46"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4"/>
      <c r="BA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5"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6"/>
      <c r="BJ82" s="22"/>
      <c r="BK82" s="46" t="str">
        <f aca="false">IF(OR(Tasks[[#This Row],[Task Name]]="",Tasks[[#This Row],[Baseline Duration]]=""),"",Tasks[[#This Row],[_SpanDays]]-N(Tasks[[#This Row],[Baseline Duration]]))</f>
        <v/>
      </c>
      <c r="BL82" s="85" t="str">
        <f aca="false">IF(OR(Tasks[[#This Row],[Task Name]]="",Tasks[[#This Row],[Baseline Work]]=""),"",Tasks[[#This Row],[Work]]-N(Tasks[[#This Row],[Baseline Work]]))</f>
        <v/>
      </c>
      <c r="BM82" s="62" t="str">
        <f aca="false">IF(Tasks[[#This Row],[Task Name]]="","",IF(OR(TakeBaseline="Yes",N(Tasks[[#This Row],[Baseline Start]])=0),Tasks[[#This Row],[Start]],Tasks[[#This Row],[Baseline Start]]))</f>
        <v/>
      </c>
      <c r="BN82" s="62"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5" t="str">
        <f aca="false">IF(Tasks[[#This Row],[Task Name]]="","",IF(OR(TakeBaseline="Yes",N(Tasks[[#This Row],[Baseline Work]])=0),Tasks[[#This Row],[Work]],Tasks[[#This Row],[Baseline Work]]))</f>
        <v/>
      </c>
      <c r="BQ82" s="7"/>
      <c r="BR82" s="7"/>
      <c r="BS82" s="22"/>
      <c r="BT82" s="87"/>
      <c r="BU82" s="42" t="str">
        <f aca="false">IF(Tasks[[#This Row],[Task Name]]="","",MAX(1,N(Tasks[[#This Row],[Level]])))</f>
        <v/>
      </c>
      <c r="BV82" s="42" t="n">
        <f aca="false">ROW()-ROW(Tasks[[#Headers],[ID]])</f>
        <v>77</v>
      </c>
      <c r="BW82" s="42" t="n">
        <f aca="false">IF(OR(Tasks[[#This Row],[Task Name]]="",Tasks[[#This Row],[_Level]]&lt;=1),0,IFERROR(LOOKUP(2,1/(Tasks[[#Headers],[_Level]]:Tasks[[#This Row],[_Level]]=Tasks[[#This Row],[_Level]]-1),ROW(Tasks[[#Headers],[_Level]]:Tasks[[#This Row],[_Level]])),0))</f>
        <v>0</v>
      </c>
      <c r="BX82" s="42" t="n">
        <f aca="false">IFERROR(N(INDEX(Tasks[_Level],Tasks[[#This Row],[_Row]]+1)),0)</f>
        <v>0</v>
      </c>
      <c r="BY82" s="88" t="b">
        <f aca="false">AND(Tasks[[#This Row],[Task Name]]&lt;&gt;"",Tasks[[#This Row],[_NextLevel]]&gt;Tasks[[#This Row],[_Level]])</f>
        <v>0</v>
      </c>
      <c r="BZ82" s="42" t="n">
        <f aca="false">IF(Tasks[[#This Row],[_IsSummary]],COUNTIF(Tasks[WBS],Tasks[[#This Row],[WBS]]&amp;".*"),0)</f>
        <v>0</v>
      </c>
      <c r="CA82" s="42" t="n">
        <f aca="false">IF(AND(Tasks[[#This Row],[Task Name]]&lt;&gt;"",NOT(Tasks[[#This Row],[_IsSummary]])),1,0)</f>
        <v>0</v>
      </c>
      <c r="CB82" s="42" t="n">
        <f aca="false">IF(N(Tasks[[#This Row],[_Pred1UID]])=0,0,IFERROR(MATCH(Tasks[[#This Row],[_Pred1UID]],Tasks[UID],0),-1))</f>
        <v>0</v>
      </c>
      <c r="CC82" s="42" t="n">
        <f aca="false">IF(N(Tasks[[#This Row],[_Pred2UID]])=0,0,IFERROR(MATCH(Tasks[[#This Row],[_Pred2UID]],Tasks[UID],0),-1))</f>
        <v>0</v>
      </c>
      <c r="CD82" s="42" t="n">
        <f aca="false">IF(N(Tasks[[#This Row],[_Pred3UID]])=0,0,IFERROR(MATCH(Tasks[[#This Row],[_Pred3UID]],Tasks[UID],0),-1))</f>
        <v>0</v>
      </c>
      <c r="CE82" s="42" t="n">
        <f aca="false">IF(N(Tasks[[#This Row],[_Pred4UID]])=0,0,IFERROR(MATCH(Tasks[[#This Row],[_Pred4UID]],Tasks[UID],0),-1))</f>
        <v>0</v>
      </c>
      <c r="CF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2" s="89" t="n">
        <f aca="false">IF(OR(Tasks[[#This Row],[_ConstraintCode]]=2,Tasks[[#This Row],[_ConstraintCode]]=3,Tasks[[#This Row],[_ConstraintCode]]=4,Tasks[[#This Row],[_ConstraintCode]]=6),Tasks[[#This Row],[_ConstraintStart]],0)</f>
        <v>0</v>
      </c>
      <c r="CI82" s="89" t="n">
        <f aca="false">IF(OR(Tasks[[#This Row],[_ConstraintCode]]=2,Tasks[[#This Row],[_ConstraintCode]]=3,Tasks[[#This Row],[_ConstraintCode]]=5,Tasks[[#This Row],[_ConstraintCode]]=7),Tasks[[#This Row],[_ConstraintStart]],2958465)</f>
        <v>2958465</v>
      </c>
      <c r="CJ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2" s="89" t="str">
        <f aca="false">IF(NOT(Tasks[[#This Row],[_IsLeaf]]=1),"",IF(N(Tasks[[#This Row],[_Days]])&lt;=0,Tasks[[#This Row],[_LeafCalcStart]],WORKDAY.INTL(Tasks[[#This Row],[_LeafCalcStart]],Tasks[[#This Row],[_Days]]-1,WorkWeek,Holidays)))</f>
        <v/>
      </c>
      <c r="CL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2" s="42" t="str">
        <f aca="false">IF(Tasks[[#This Row],[_Predecessors]]="","",TRIM(MID(SUBSTITUTE(SUBSTITUTE(SUBSTITUTE(UPPER(Tasks[[#This Row],[_Predecessors]]),";",",")," ",""),",",REPT(" ",99)),1,99)))</f>
        <v/>
      </c>
      <c r="CO82" s="42" t="str">
        <f aca="false">IF(Tasks[[#This Row],[_Pred1Text]]="","",IFERROR(VALUE(LEFT(Tasks[[#This Row],[_Pred1Text]],MIN(FIND("F",Tasks[[#This Row],[_Pred1Text]]&amp;"F"),FIND("S",Tasks[[#This Row],[_Pred1Text]]&amp;"S"),FIND("+",Tasks[[#This Row],[_Pred1Text]]&amp;"+"),FIND("-",Tasks[[#This Row],[_Pred1Text]]&amp;"-"))-1)),""))</f>
        <v/>
      </c>
      <c r="CP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2" s="42" t="str">
        <f aca="false">IF(Tasks[[#This Row],[_Pred1Text]]="","",TRIM(MID(SUBSTITUTE(SUBSTITUTE(SUBSTITUTE(UPPER(Tasks[[#This Row],[_Predecessors]]),";",",")," ",""),",",REPT(" ",99)),100,99)))</f>
        <v/>
      </c>
      <c r="CS82" s="42" t="str">
        <f aca="false">IF(Tasks[[#This Row],[_Pred2Text]]="","",IFERROR(VALUE(LEFT(Tasks[[#This Row],[_Pred2Text]],MIN(FIND("F",Tasks[[#This Row],[_Pred2Text]]&amp;"F"),FIND("S",Tasks[[#This Row],[_Pred2Text]]&amp;"S"),FIND("+",Tasks[[#This Row],[_Pred2Text]]&amp;"+"),FIND("-",Tasks[[#This Row],[_Pred2Text]]&amp;"-"))-1)),""))</f>
        <v/>
      </c>
      <c r="CT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2" s="42" t="str">
        <f aca="false">IF(Tasks[[#This Row],[_Pred2Text]]="","",TRIM(MID(SUBSTITUTE(SUBSTITUTE(SUBSTITUTE(UPPER(Tasks[[#This Row],[_Predecessors]]),";",",")," ",""),",",REPT(" ",99)),199,99)))</f>
        <v/>
      </c>
      <c r="CW82" s="42" t="str">
        <f aca="false">IF(Tasks[[#This Row],[_Pred3Text]]="","",IFERROR(VALUE(LEFT(Tasks[[#This Row],[_Pred3Text]],MIN(FIND("F",Tasks[[#This Row],[_Pred3Text]]&amp;"F"),FIND("S",Tasks[[#This Row],[_Pred3Text]]&amp;"S"),FIND("+",Tasks[[#This Row],[_Pred3Text]]&amp;"+"),FIND("-",Tasks[[#This Row],[_Pred3Text]]&amp;"-"))-1)),""))</f>
        <v/>
      </c>
      <c r="CX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2" s="42" t="str">
        <f aca="false">IF(Tasks[[#This Row],[_Pred3Text]]="","",TRIM(MID(SUBSTITUTE(SUBSTITUTE(SUBSTITUTE(UPPER(Tasks[[#This Row],[_Predecessors]]),";",",")," ",""),",",REPT(" ",99)),298,99)))</f>
        <v/>
      </c>
      <c r="DA82" s="42" t="str">
        <f aca="false">IF(Tasks[[#This Row],[_Pred4Text]]="","",IFERROR(VALUE(LEFT(Tasks[[#This Row],[_Pred4Text]],MIN(FIND("F",Tasks[[#This Row],[_Pred4Text]]&amp;"F"),FIND("S",Tasks[[#This Row],[_Pred4Text]]&amp;"S"),FIND("+",Tasks[[#This Row],[_Pred4Text]]&amp;"+"),FIND("-",Tasks[[#This Row],[_Pred4Text]]&amp;"-"))-1)),""))</f>
        <v/>
      </c>
      <c r="DB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2" s="42" t="str">
        <f aca="false">IF(OR(Tasks[[#This Row],[Task Name]]="",Tasks[[#This Row],[_Resources]]=""),"",TRIM(MID(SUBSTITUTE(Tasks[[#This Row],[_Resources]],",",REPT(" ",99)),1,99)))</f>
        <v/>
      </c>
      <c r="DE82" s="42" t="str">
        <f aca="false">IF(Tasks[[#This Row],[_Res1Text]]="","",TRIM(MID(SUBSTITUTE(Tasks[[#This Row],[_Resources]],",",REPT(" ",99)),100,99)))</f>
        <v/>
      </c>
      <c r="DF82" s="42" t="str">
        <f aca="false">IF(Tasks[[#This Row],[_Res2Text]]="","",TRIM(MID(SUBSTITUTE(Tasks[[#This Row],[_Resources]],",",REPT(" ",99)),199,99)))</f>
        <v/>
      </c>
      <c r="DG82" s="42" t="str">
        <f aca="false">IF(Tasks[[#This Row],[_Res3Text]]="","",TRIM(MID(SUBSTITUTE(Tasks[[#This Row],[_Resources]],",",REPT(" ",99)),298,99)))</f>
        <v/>
      </c>
      <c r="DH82" s="42" t="n">
        <f aca="false">IF(Tasks[[#This Row],[_Res1Text]]="",0,IFERROR(MATCH(TRIM(LEFT(Tasks[[#This Row],[_Res1Text]],FIND("[",Tasks[[#This Row],[_Res1Text]]&amp;"[")-1)),res_Name,0),IFERROR(MATCH(TRIM(LEFT(Tasks[[#This Row],[_Res1Text]],FIND("[",Tasks[[#This Row],[_Res1Text]]&amp;"[")-1)),res_Initials,0),0)))</f>
        <v>0</v>
      </c>
      <c r="DI82" s="42" t="n">
        <f aca="false">IF(Tasks[[#This Row],[_Res2Text]]="",0,IFERROR(MATCH(TRIM(LEFT(Tasks[[#This Row],[_Res2Text]],FIND("[",Tasks[[#This Row],[_Res2Text]]&amp;"[")-1)),res_Name,0),IFERROR(MATCH(TRIM(LEFT(Tasks[[#This Row],[_Res2Text]],FIND("[",Tasks[[#This Row],[_Res2Text]]&amp;"[")-1)),res_Initials,0),0)))</f>
        <v>0</v>
      </c>
      <c r="DJ82" s="42" t="n">
        <f aca="false">IF(Tasks[[#This Row],[_Res3Text]]="",0,IFERROR(MATCH(TRIM(LEFT(Tasks[[#This Row],[_Res3Text]],FIND("[",Tasks[[#This Row],[_Res3Text]]&amp;"[")-1)),res_Name,0),IFERROR(MATCH(TRIM(LEFT(Tasks[[#This Row],[_Res3Text]],FIND("[",Tasks[[#This Row],[_Res3Text]]&amp;"[")-1)),res_Initials,0),0)))</f>
        <v>0</v>
      </c>
      <c r="DK82" s="42" t="n">
        <f aca="false">IF(Tasks[[#This Row],[_Res4Text]]="",0,IFERROR(MATCH(TRIM(LEFT(Tasks[[#This Row],[_Res4Text]],FIND("[",Tasks[[#This Row],[_Res4Text]]&amp;"[")-1)),res_Name,0),IFERROR(MATCH(TRIM(LEFT(Tasks[[#This Row],[_Res4Text]],FIND("[",Tasks[[#This Row],[_Res4Text]]&amp;"[")-1)),res_Initials,0),0)))</f>
        <v>0</v>
      </c>
      <c r="DL82" s="42" t="str">
        <f aca="false">IF(Tasks[[#This Row],[_Res1Text]]="","",IF(Tasks[[#This Row],[_Res1Row]]&gt;0,INDEX(res_Name,Tasks[[#This Row],[_Res1Row]]),TRIM(LEFT(Tasks[[#This Row],[_Res1Text]],FIND("[",Tasks[[#This Row],[_Res1Text]]&amp;"[")-1))))</f>
        <v/>
      </c>
      <c r="DM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2" s="42" t="n">
        <f aca="false">IF(NOT(Tasks[[#This Row],[_IsLeaf]]=1),0,(Tasks[[#This Row],[_Resource1]]&lt;&gt;"")+(Tasks[[#This Row],[_Res2]]&lt;&gt;"")+(Tasks[[#This Row],[_Res3]]&lt;&gt;"")+(Tasks[[#This Row],[_Res4]]&lt;&gt;""))</f>
        <v>0</v>
      </c>
      <c r="DO82" s="42" t="str">
        <f aca="false">IF(Tasks[[#This Row],[_Res2Text]]="","",IF(Tasks[[#This Row],[_Res2Row]]&gt;0,INDEX(res_Name,Tasks[[#This Row],[_Res2Row]]),TRIM(LEFT(Tasks[[#This Row],[_Res2Text]],FIND("[",Tasks[[#This Row],[_Res2Text]]&amp;"[")-1))))</f>
        <v/>
      </c>
      <c r="DP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2" s="42" t="n">
        <f aca="false">IF(OR(NOT(Tasks[[#This Row],[_IsLeaf]]=1),Tasks[[#This Row],[_Res2Row]]=0),0,N(Tasks[[#This Row],[_Days]])*HoursPerDay*IF(Tasks[[#This Row],[_Res2Units]]="",DefaultUnits,Tasks[[#This Row],[_Res2Units]]))</f>
        <v>0</v>
      </c>
      <c r="DR82" s="42" t="n">
        <f aca="false">IF(AND(AND(Tasks[[#This Row],[_IsLeaf]]=1,Tasks[[#This Row],[_LeafTotalWork]]&gt;0),Tasks[[#This Row],[_Res2Work]]&gt;0),Tasks[[#This Row],[_Res2Work]]/(Tasks[[#This Row],[_FinishWorkday]]-Tasks[[#This Row],[_StartWorkday]]+1),0)</f>
        <v>0</v>
      </c>
      <c r="DS82" s="42" t="n">
        <f aca="false">Tasks[[#This Row],[_Res2WorkPerWD]]*MAX(0,Tasks[[#This Row],[_StartWorkday]]-1)</f>
        <v>0</v>
      </c>
      <c r="DT82" s="42" t="n">
        <f aca="false">Tasks[[#This Row],[_Res2Work]]*Tasks[[#This Row],[_LeafProgress]]</f>
        <v>0</v>
      </c>
      <c r="DU82" s="42" t="str">
        <f aca="false">IF(Tasks[[#This Row],[_Res3Text]]="","",IF(Tasks[[#This Row],[_Res3Row]]&gt;0,INDEX(res_Name,Tasks[[#This Row],[_Res3Row]]),TRIM(LEFT(Tasks[[#This Row],[_Res3Text]],FIND("[",Tasks[[#This Row],[_Res3Text]]&amp;"[")-1))))</f>
        <v/>
      </c>
      <c r="DV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2" s="42" t="n">
        <f aca="false">IF(OR(NOT(Tasks[[#This Row],[_IsLeaf]]=1),Tasks[[#This Row],[_Res3Row]]=0),0,N(Tasks[[#This Row],[_Days]])*HoursPerDay*IF(Tasks[[#This Row],[_Res3Units]]="",DefaultUnits,Tasks[[#This Row],[_Res3Units]]))</f>
        <v>0</v>
      </c>
      <c r="DX82" s="42" t="n">
        <f aca="false">IF(AND(AND(Tasks[[#This Row],[_IsLeaf]]=1,Tasks[[#This Row],[_LeafTotalWork]]&gt;0),Tasks[[#This Row],[_Res3Work]]&gt;0),Tasks[[#This Row],[_Res3Work]]/(Tasks[[#This Row],[_FinishWorkday]]-Tasks[[#This Row],[_StartWorkday]]+1),0)</f>
        <v>0</v>
      </c>
      <c r="DY82" s="42" t="n">
        <f aca="false">Tasks[[#This Row],[_Res3WorkPerWD]]*MAX(0,Tasks[[#This Row],[_StartWorkday]]-1)</f>
        <v>0</v>
      </c>
      <c r="DZ82" s="42" t="n">
        <f aca="false">Tasks[[#This Row],[_Res3Work]]*Tasks[[#This Row],[_LeafProgress]]</f>
        <v>0</v>
      </c>
      <c r="EA82" s="42" t="str">
        <f aca="false">IF(Tasks[[#This Row],[_Res4Text]]="","",IF(Tasks[[#This Row],[_Res4Row]]&gt;0,INDEX(res_Name,Tasks[[#This Row],[_Res4Row]]),TRIM(LEFT(Tasks[[#This Row],[_Res4Text]],FIND("[",Tasks[[#This Row],[_Res4Text]]&amp;"[")-1))))</f>
        <v/>
      </c>
      <c r="EB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2" s="42" t="n">
        <f aca="false">IF(OR(NOT(Tasks[[#This Row],[_IsLeaf]]=1),Tasks[[#This Row],[_Res4Row]]=0),0,N(Tasks[[#This Row],[_Days]])*HoursPerDay*IF(Tasks[[#This Row],[_Res4Units]]="",DefaultUnits,Tasks[[#This Row],[_Res4Units]]))</f>
        <v>0</v>
      </c>
      <c r="ED82" s="42" t="n">
        <f aca="false">IF(AND(AND(Tasks[[#This Row],[_IsLeaf]]=1,Tasks[[#This Row],[_LeafTotalWork]]&gt;0),Tasks[[#This Row],[_Res4Work]]&gt;0),Tasks[[#This Row],[_Res4Work]]/(Tasks[[#This Row],[_FinishWorkday]]-Tasks[[#This Row],[_StartWorkday]]+1),0)</f>
        <v>0</v>
      </c>
      <c r="EE82" s="42" t="n">
        <f aca="false">Tasks[[#This Row],[_Res4WorkPerWD]]*MAX(0,Tasks[[#This Row],[_StartWorkday]]-1)</f>
        <v>0</v>
      </c>
      <c r="EF82" s="42" t="n">
        <f aca="false">Tasks[[#This Row],[_Res4Work]]*Tasks[[#This Row],[_LeafProgress]]</f>
        <v>0</v>
      </c>
      <c r="EG82" s="42" t="n">
        <f aca="false">IF(ISNUMBER(Tasks[[#This Row],[% Complete]]),Tasks[[#This Row],[% Complete]],IF(Tasks[[#This Row],[Stage]]="",0,IFERROR(INDEX(stg_Pct,MATCH(Tasks[[#This Row],[Stage]],stg_Name,0)),0)))</f>
        <v>0</v>
      </c>
      <c r="EH82" s="42" t="n">
        <f aca="false">IF(NOT(Tasks[[#This Row],[_IsLeaf]]=1),0,IF(N(Tasks[[#This Row],[Actual Finish]])&gt;0,1,MIN(1,Tasks[[#This Row],[_Pct]])))</f>
        <v>0</v>
      </c>
      <c r="EI82" s="42" t="n">
        <f aca="false">IF(OR(NOT(Tasks[[#This Row],[_IsLeaf]]=1),Tasks[[#This Row],[_Res1Row]]=0),0,N(Tasks[[#This Row],[_Days]])*HoursPerDay*IF(Tasks[[#This Row],[_Units1]]="",DefaultUnits,Tasks[[#This Row],[_Units1]]))</f>
        <v>0</v>
      </c>
      <c r="EJ82" s="42" t="n">
        <f aca="false">Tasks[[#This Row],[_LeafWork]]+Tasks[[#This Row],[_Res2Work]]+Tasks[[#This Row],[_Res3Work]]+Tasks[[#This Row],[_Res4Work]]</f>
        <v>0</v>
      </c>
      <c r="EK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2" s="42" t="n">
        <f aca="false">IF(NOT(Tasks[[#This Row],[_IsLeaf]]=1),0,MAX(_xlfn.MAXIFS(Tasks[_Row],Tasks[_Pred1UID],Tasks[[#This Row],[UID]]),_xlfn.MAXIFS(Tasks[_Row],Tasks[_Pred2UID],Tasks[[#This Row],[UID]]),_xlfn.MAXIFS(Tasks[_Row],Tasks[_Pred3UID],Tasks[[#This Row],[UID]]),_xlfn.MAXIFS(Tasks[_Row],Tasks[_Pred4UID],Tasks[[#This Row],[UID]])))</f>
        <v>0</v>
      </c>
      <c r="ET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2" s="89" t="str">
        <f aca="false">IF(NOT(Tasks[[#This Row],[_IsLeaf]]=1),"",IF(N(Tasks[[#This Row],[_Days]])&lt;=0,Tasks[[#This Row],[_LeafLateFinish]],WORKDAY.INTL(Tasks[[#This Row],[_LeafLateFinish]],-(Tasks[[#This Row],[_Days]]-1),WorkWeek,Holidays)))</f>
        <v/>
      </c>
      <c r="EW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2" s="88" t="b">
        <f aca="false">AND(Tasks[[#This Row],[_IsLeaf]]=1,Tasks[[#This Row],[_LeafProgress]]&lt;1,N(Tasks[[#This Row],[_LeafTotalSlack]])&lt;=CriticalSlackDays)</f>
        <v>0</v>
      </c>
      <c r="EY82" s="42" t="n">
        <f aca="false">IF(AND(Tasks[[#This Row],[_IsLeaf]]=1,Tasks[[#This Row],[_ConstraintCode]]=1,Tasks[[#This Row],[Mode]]&lt;&gt;"Manual",N(Tasks[[#This Row],[Actual Start]])=0),MAX(0,N(Tasks[[#This Row],[Free Slack]])),0)</f>
        <v>0</v>
      </c>
      <c r="EZ82" s="89" t="str">
        <f aca="false">IF(NOT(Tasks[[#This Row],[_IsLeaf]]=1),"",IF(Tasks[[#This Row],[_AlapShift]]=0,Tasks[[#This Row],[_LeafCalcStart]],WORKDAY.INTL(Tasks[[#This Row],[_LeafCalcStart]],Tasks[[#This Row],[_AlapShift]],WorkWeek,Holidays)))</f>
        <v/>
      </c>
      <c r="FA82" s="89" t="str">
        <f aca="false">IF(NOT(Tasks[[#This Row],[_IsLeaf]]=1),"",IF(Tasks[[#This Row],[_AlapShift]]=0,Tasks[[#This Row],[_LeafCalcFinish]],WORKDAY.INTL(Tasks[[#This Row],[_LeafCalcFinish]],Tasks[[#This Row],[_AlapShift]],WorkWeek,Holidays)))</f>
        <v/>
      </c>
      <c r="FB82" s="89" t="str">
        <f aca="false">IF(NOT(Tasks[[#This Row],[_IsLeaf]]=1),"",IF(Tasks[[#This Row],[_AlapShift]]=0,Tasks[[#This Row],[_LeafFcstStart]],WORKDAY.INTL(Tasks[[#This Row],[_LeafFcstStart]],Tasks[[#This Row],[_AlapShift]],WorkWeek,Holidays)))</f>
        <v/>
      </c>
      <c r="FC82" s="89" t="str">
        <f aca="false">IF(NOT(Tasks[[#This Row],[_IsLeaf]]=1),"",IF(Tasks[[#This Row],[_AlapShift]]=0,Tasks[[#This Row],[_LeafFcstFinish]],WORKDAY.INTL(Tasks[[#This Row],[_LeafFcstFinish]],Tasks[[#This Row],[_AlapShift]],WorkWeek,Holidays)))</f>
        <v/>
      </c>
      <c r="FD82" s="89" t="str">
        <f aca="false">IF(Tasks[[#This Row],[Task Name]]="","",IF(Tasks[[#This Row],[_IsSummary]],MIN(INDEX(Tasks[_ShownCalcStart],Tasks[[#This Row],[_Row]]+1):INDEX(Tasks[_ShownCalcStart],Tasks[[#This Row],[_Row]]+Tasks[[#This Row],[_Descendants]])),Tasks[[#This Row],[_ShownCalcStart]]))</f>
        <v/>
      </c>
      <c r="FE82" s="89" t="str">
        <f aca="false">IF(Tasks[[#This Row],[Task Name]]="","",IF(Tasks[[#This Row],[_IsSummary]],MAX(INDEX(Tasks[_ShownCalcFinish],Tasks[[#This Row],[_Row]]+1):INDEX(Tasks[_ShownCalcFinish],Tasks[[#This Row],[_Row]]+Tasks[[#This Row],[_Descendants]])),Tasks[[#This Row],[_ShownCalcFinish]]))</f>
        <v/>
      </c>
      <c r="FF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2" s="42" t="n">
        <f aca="false">IF(AND(Tasks[[#This Row],[_IsLeaf]]=1,Tasks[[#This Row],[_LeafTotalWork]]&gt;0),NETWORKDAYS.INTL(ProjectStart,Tasks[[#This Row],[_ShownFcstStart]],WorkWeek,Holidays),0)</f>
        <v>0</v>
      </c>
      <c r="FS82" s="42" t="n">
        <f aca="false">IF(AND(Tasks[[#This Row],[_IsLeaf]]=1,Tasks[[#This Row],[_LeafTotalWork]]&gt;0),MAX(Tasks[[#This Row],[_StartWorkday]],NETWORKDAYS.INTL(ProjectStart,Tasks[[#This Row],[_ShownFcstFinish]],WorkWeek,Holidays)),0)</f>
        <v>0</v>
      </c>
      <c r="FT82" s="42" t="n">
        <f aca="false">IF(AND(Tasks[[#This Row],[_IsLeaf]]=1,Tasks[[#This Row],[_LeafTotalWork]]&gt;0),Tasks[[#This Row],[_LeafWork]]/(Tasks[[#This Row],[_FinishWorkday]]-Tasks[[#This Row],[_StartWorkday]]+1),0)</f>
        <v>0</v>
      </c>
      <c r="FU82" s="42" t="n">
        <f aca="false">Tasks[[#This Row],[_WorkPerWorkday]]*(Tasks[[#This Row],[_StartWorkday]]-1)</f>
        <v>-0</v>
      </c>
      <c r="FV82" s="42" t="n">
        <f aca="false">IF(Tasks[[#This Row],[_IsLeaf]]=1,MAX(N(Tasks[[#This Row],[_Days]]),0.1),0)</f>
        <v>0</v>
      </c>
      <c r="FW82" s="42" t="n">
        <f aca="false">Tasks[[#This Row],[_WeightDur]]*Tasks[[#This Row],[_LeafProgress]]</f>
        <v>0</v>
      </c>
      <c r="FX82" s="42" t="n">
        <f aca="false">Tasks[[#This Row],[_WeightDur]]*Tasks[[#This Row],[_PlannedPct]]</f>
        <v>0</v>
      </c>
      <c r="FY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2" s="42" t="str">
        <f aca="false">IF(AND(Tasks[[#This Row],[_IsLeaf]]=1,N(Tasks[[#This Row],[_Days]])=0,Tasks[[#This Row],[_LeafProgress]]&lt;1),Tasks[[#This Row],[_ShownFcstFinish]]+Tasks[[#This Row],[_Row]]/100000,"")</f>
        <v/>
      </c>
      <c r="GA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2" s="42" t="str">
        <f aca="false">IF(Tasks[[#This Row],[Task Name]]="","",LEFT(Tasks[[#This Row],[WBS]],FIND(".",Tasks[[#This Row],[WBS]]&amp;".")-1))</f>
        <v/>
      </c>
      <c r="GC82" s="42" t="str">
        <f aca="false">IF(AND(Tasks[[#This Row],[Task Name]]&lt;&gt;"",Tasks[[#This Row],[_Level]]=1),Tasks[[#This Row],[_Row]],"")</f>
        <v/>
      </c>
      <c r="GD82" s="42" t="str">
        <f aca="false">IF(AND(Tasks[[#This Row],[_IsLeaf]]=1,N(Tasks[[#This Row],[_Days]])=0),Tasks[[#This Row],[Planned Finish]]+Tasks[[#This Row],[_Row]]/100000,"")</f>
        <v/>
      </c>
      <c r="GE82" s="42" t="str">
        <f aca="false">IF(AND(Tasks[[#This Row],[_IsLeaf]]=1,Tasks[[#This Row],[_LeafProgress]]&lt;1,OR(N(Tasks[[#This Row],[Finish Var]])&gt;0,Tasks[[#This Row],[Status]]="Late Start")),MAX(0,Tasks[[#This Row],[Finish Var]])+1-Tasks[[#This Row],[_Row]]/1000000,"")</f>
        <v/>
      </c>
      <c r="GF82" s="42" t="str">
        <f aca="false">IF(AND(Tasks[[#This Row],[_IsLeaf]]=1,N(Tasks[[#This Row],[Actual Start]])=0,Tasks[[#This Row],[_ShownFcstStart]]&gt;=StatusDate,Tasks[[#This Row],[_ShownFcstStart]]&lt;=LookaheadEnd),Tasks[[#This Row],[_ShownFcstStart]]+Tasks[[#This Row],[_Row]]/100000,"")</f>
        <v/>
      </c>
      <c r="GG82" s="42" t="str">
        <f aca="false">IF(AND(Tasks[[#This Row],[_IsLeaf]]=1,Tasks[[#This Row],[_LeafProgress]]&lt;1,Tasks[[#This Row],[_ShownFcstFinish]]&gt;=StatusDate,Tasks[[#This Row],[_ShownFcstFinish]]&lt;=LookaheadEnd),Tasks[[#This Row],[_ShownFcstFinish]]+Tasks[[#This Row],[_Row]]/100000,"")</f>
        <v/>
      </c>
      <c r="GH82" s="42" t="str">
        <f aca="false">IF(Tasks[[#This Row],[_LeafCritical]],Tasks[[#This Row],[_ShownFcstStart]]+Tasks[[#This Row],[_Row]]/100000,"")</f>
        <v/>
      </c>
      <c r="GI82" s="42" t="n">
        <f aca="false">Tasks[[#This Row],[_LeafWork]]*Tasks[[#This Row],[_LeafProgress]]</f>
        <v>0</v>
      </c>
      <c r="GJ82" s="89" t="str">
        <f aca="false">IF(AND(Tasks[[#This Row],[_IsLeaf]]=1,Tasks[[#This Row],[_LeafProgress]]&gt;=1),IF(N(Tasks[[#This Row],[Actual Finish]])&gt;0,Tasks[[#This Row],[Actual Finish]],Tasks[[#This Row],[_ShownFcstFinish]]),"")</f>
        <v/>
      </c>
      <c r="GK82" s="42" t="n">
        <f aca="false">IF(Tasks[[#This Row],[_IsLeaf]]=1,N(Tasks[[#This Row],[Story Points]]),0)</f>
        <v>0</v>
      </c>
      <c r="GL82" s="42" t="str">
        <f aca="false">""</f>
        <v/>
      </c>
      <c r="GM82" s="88" t="b">
        <f aca="false">IF(Tasks[[#This Row],[Task Name]]="",FALSE(),AND(Tasks[[#This Row],[_IsLeaf]]=1,N(Tasks[[#This Row],[_Days]])=0))</f>
        <v>0</v>
      </c>
      <c r="GN82" s="89" t="n">
        <f aca="false">IF(Tasks[[#This Row],[Task Name]]="",0,IF(AND(Tasks[[#This Row],[_IsLeaf]]=1,NOT(Tasks[[#This Row],[_IsMilestone]]),N(Tasks[[#This Row],[Progress]])&gt;0),Tasks[[#This Row],[Start]],0))</f>
        <v>0</v>
      </c>
      <c r="GO82" s="89" t="n">
        <f aca="false">IF(Tasks[[#This Row],[_DoneFrom]]=0,0,IF(Tasks[[#This Row],[Progress]]&gt;=1,Tasks[[#This Row],[Finish]],MAX(Tasks[[#This Row],[_DoneFrom]],Tasks[[#This Row],[Start]]+ROUND((Tasks[[#This Row],[Finish]]-Tasks[[#This Row],[Start]]+1)*Tasks[[#This Row],[Progress]],0)-1)))</f>
        <v>0</v>
      </c>
      <c r="GP82" s="89" t="n">
        <f aca="false">IF(Tasks[[#This Row],[Task Name]]="",0,IF(OR(NOT(Tasks[[#This Row],[_IsLeaf]]=1),Tasks[[#This Row],[_IsMilestone]],N(Tasks[[#This Row],[Progress]])&gt;=1),0,IF(Tasks[[#This Row],[_DoneTo]]&gt;0,Tasks[[#This Row],[_DoneTo]]+1,Tasks[[#This Row],[Start]])))</f>
        <v>0</v>
      </c>
      <c r="GQ82" s="89" t="n">
        <f aca="false">IF(Tasks[[#This Row],[_RemFrom]]=0,0,Tasks[[#This Row],[Finish]])</f>
        <v>0</v>
      </c>
      <c r="GR82" s="88" t="b">
        <f aca="false">IF(Tasks[[#This Row],[Task Name]]="",FALSE(),OR(NOT(BaselineSet),N(Tasks[[#This Row],[Baseline Start]])&gt;0))</f>
        <v>0</v>
      </c>
      <c r="GS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2" s="90" t="str">
        <f aca="false">IF(Tasks[[#This Row],[_IsLeaf]]=1,Tasks[[#This Row],[_Row]],"")</f>
        <v/>
      </c>
      <c r="GW82" s="90" t="str">
        <f aca="false">IFERROR(INDEX(Tasks[UID],SMALL(Tasks[_PickKey],Tasks[[#This Row],[_Row]]))&amp;" "&amp;INDEX(Tasks[Task Name],SMALL(Tasks[_PickKey],Tasks[[#This Row],[_Row]])),"")</f>
        <v/>
      </c>
      <c r="GX82" s="42" t="str">
        <f aca="false">IF(Tasks[[#This Row],[Task Name]]="","",IF(Tasks[[#This Row],[_IsSummary]],NETWORKDAYS.INTL(Tasks[[#This Row],[Start]],Tasks[[#This Row],[Finish]],WorkWeek,Holidays),N(Tasks[[#This Row],[_Days]])))</f>
        <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3"/>
      <c r="U83" s="23"/>
      <c r="V83" s="83"/>
      <c r="W83" s="23"/>
      <c r="X83" s="83"/>
      <c r="Y83" s="23"/>
      <c r="Z83" s="83"/>
      <c r="AA83" s="23"/>
      <c r="AB83" s="23"/>
      <c r="AC83" s="7"/>
      <c r="AD83" s="7"/>
      <c r="AE83" s="62" t="str">
        <f aca="false">IF(Tasks[[#This Row],[Task Name]]="","",IF(Tasks[[#This Row],[_IsSummary]],MIN(INDEX(Tasks[_ShownFcstStart],Tasks[[#This Row],[_Row]]+1):INDEX(Tasks[_ShownFcstStart],Tasks[[#This Row],[_Row]]+Tasks[[#This Row],[_Descendants]])),Tasks[[#This Row],[_ShownFcstStart]]))</f>
        <v/>
      </c>
      <c r="AF83" s="62"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3" s="7"/>
      <c r="AK83" s="22"/>
      <c r="AL83" s="23"/>
      <c r="AM83" s="7"/>
      <c r="AN83" s="46"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2" t="str">
        <f aca="false">IF(Tasks[[#This Row],[Task Name]]="","",IF(N(Tasks[[#This Row],[Baseline Start]])&gt;0,Tasks[[#This Row],[Baseline Start]],Tasks[[#This Row],[_CalcStart]]))</f>
        <v/>
      </c>
      <c r="AR83" s="62" t="str">
        <f aca="false">IF(Tasks[[#This Row],[Task Name]]="","",IF(N(Tasks[[#This Row],[Baseline Finish]])&gt;0,Tasks[[#This Row],[Baseline Finish]],Tasks[[#This Row],[_CalcFinish]]))</f>
        <v/>
      </c>
      <c r="AS83" s="46" t="str">
        <f aca="false">IF(Tasks[[#This Row],[Task Name]]="","",IF(Tasks[[#This Row],[Start]]&gt;=Tasks[[#This Row],[Planned Start]],NETWORKDAYS.INTL(Tasks[[#This Row],[Planned Start]],Tasks[[#This Row],[Start]],WorkWeek,Holidays)-1,1-NETWORKDAYS.INTL(Tasks[[#This Row],[Start]],Tasks[[#This Row],[Planned Start]],WorkWeek,Holidays)))</f>
        <v/>
      </c>
      <c r="AT83" s="62" t="str">
        <f aca="false">IF(Tasks[[#This Row],[Task Name]]="","",IF(Tasks[[#This Row],[_IsSummary]],MIN(INDEX(Tasks[_LeafLateStart],Tasks[[#This Row],[_Row]]+1):INDEX(Tasks[_LeafLateStart],Tasks[[#This Row],[_Row]]+Tasks[[#This Row],[_Descendants]])),Tasks[[#This Row],[_LeafLateStart]]))</f>
        <v/>
      </c>
      <c r="AU83" s="62" t="str">
        <f aca="false">IF(Tasks[[#This Row],[Task Name]]="","",IF(Tasks[[#This Row],[_IsSummary]],MAX(INDEX(Tasks[_LeafLateFinish],Tasks[[#This Row],[_Row]]+1):INDEX(Tasks[_LeafLateFinish],Tasks[[#This Row],[_Row]]+Tasks[[#This Row],[_Descendants]])),Tasks[[#This Row],[_LeafLateFinish]]))</f>
        <v/>
      </c>
      <c r="AV83" s="46"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4"/>
      <c r="BA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5"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6"/>
      <c r="BJ83" s="22"/>
      <c r="BK83" s="46" t="str">
        <f aca="false">IF(OR(Tasks[[#This Row],[Task Name]]="",Tasks[[#This Row],[Baseline Duration]]=""),"",Tasks[[#This Row],[_SpanDays]]-N(Tasks[[#This Row],[Baseline Duration]]))</f>
        <v/>
      </c>
      <c r="BL83" s="85" t="str">
        <f aca="false">IF(OR(Tasks[[#This Row],[Task Name]]="",Tasks[[#This Row],[Baseline Work]]=""),"",Tasks[[#This Row],[Work]]-N(Tasks[[#This Row],[Baseline Work]]))</f>
        <v/>
      </c>
      <c r="BM83" s="62" t="str">
        <f aca="false">IF(Tasks[[#This Row],[Task Name]]="","",IF(OR(TakeBaseline="Yes",N(Tasks[[#This Row],[Baseline Start]])=0),Tasks[[#This Row],[Start]],Tasks[[#This Row],[Baseline Start]]))</f>
        <v/>
      </c>
      <c r="BN83" s="62"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5" t="str">
        <f aca="false">IF(Tasks[[#This Row],[Task Name]]="","",IF(OR(TakeBaseline="Yes",N(Tasks[[#This Row],[Baseline Work]])=0),Tasks[[#This Row],[Work]],Tasks[[#This Row],[Baseline Work]]))</f>
        <v/>
      </c>
      <c r="BQ83" s="7"/>
      <c r="BR83" s="7"/>
      <c r="BS83" s="22"/>
      <c r="BT83" s="87"/>
      <c r="BU83" s="42" t="str">
        <f aca="false">IF(Tasks[[#This Row],[Task Name]]="","",MAX(1,N(Tasks[[#This Row],[Level]])))</f>
        <v/>
      </c>
      <c r="BV83" s="42" t="n">
        <f aca="false">ROW()-ROW(Tasks[[#Headers],[ID]])</f>
        <v>78</v>
      </c>
      <c r="BW83" s="42" t="n">
        <f aca="false">IF(OR(Tasks[[#This Row],[Task Name]]="",Tasks[[#This Row],[_Level]]&lt;=1),0,IFERROR(LOOKUP(2,1/(Tasks[[#Headers],[_Level]]:Tasks[[#This Row],[_Level]]=Tasks[[#This Row],[_Level]]-1),ROW(Tasks[[#Headers],[_Level]]:Tasks[[#This Row],[_Level]])),0))</f>
        <v>0</v>
      </c>
      <c r="BX83" s="42" t="n">
        <f aca="false">IFERROR(N(INDEX(Tasks[_Level],Tasks[[#This Row],[_Row]]+1)),0)</f>
        <v>0</v>
      </c>
      <c r="BY83" s="88" t="b">
        <f aca="false">AND(Tasks[[#This Row],[Task Name]]&lt;&gt;"",Tasks[[#This Row],[_NextLevel]]&gt;Tasks[[#This Row],[_Level]])</f>
        <v>0</v>
      </c>
      <c r="BZ83" s="42" t="n">
        <f aca="false">IF(Tasks[[#This Row],[_IsSummary]],COUNTIF(Tasks[WBS],Tasks[[#This Row],[WBS]]&amp;".*"),0)</f>
        <v>0</v>
      </c>
      <c r="CA83" s="42" t="n">
        <f aca="false">IF(AND(Tasks[[#This Row],[Task Name]]&lt;&gt;"",NOT(Tasks[[#This Row],[_IsSummary]])),1,0)</f>
        <v>0</v>
      </c>
      <c r="CB83" s="42" t="n">
        <f aca="false">IF(N(Tasks[[#This Row],[_Pred1UID]])=0,0,IFERROR(MATCH(Tasks[[#This Row],[_Pred1UID]],Tasks[UID],0),-1))</f>
        <v>0</v>
      </c>
      <c r="CC83" s="42" t="n">
        <f aca="false">IF(N(Tasks[[#This Row],[_Pred2UID]])=0,0,IFERROR(MATCH(Tasks[[#This Row],[_Pred2UID]],Tasks[UID],0),-1))</f>
        <v>0</v>
      </c>
      <c r="CD83" s="42" t="n">
        <f aca="false">IF(N(Tasks[[#This Row],[_Pred3UID]])=0,0,IFERROR(MATCH(Tasks[[#This Row],[_Pred3UID]],Tasks[UID],0),-1))</f>
        <v>0</v>
      </c>
      <c r="CE83" s="42" t="n">
        <f aca="false">IF(N(Tasks[[#This Row],[_Pred4UID]])=0,0,IFERROR(MATCH(Tasks[[#This Row],[_Pred4UID]],Tasks[UID],0),-1))</f>
        <v>0</v>
      </c>
      <c r="CF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3" s="89" t="n">
        <f aca="false">IF(OR(Tasks[[#This Row],[_ConstraintCode]]=2,Tasks[[#This Row],[_ConstraintCode]]=3,Tasks[[#This Row],[_ConstraintCode]]=4,Tasks[[#This Row],[_ConstraintCode]]=6),Tasks[[#This Row],[_ConstraintStart]],0)</f>
        <v>0</v>
      </c>
      <c r="CI83" s="89" t="n">
        <f aca="false">IF(OR(Tasks[[#This Row],[_ConstraintCode]]=2,Tasks[[#This Row],[_ConstraintCode]]=3,Tasks[[#This Row],[_ConstraintCode]]=5,Tasks[[#This Row],[_ConstraintCode]]=7),Tasks[[#This Row],[_ConstraintStart]],2958465)</f>
        <v>2958465</v>
      </c>
      <c r="CJ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3" s="89" t="str">
        <f aca="false">IF(NOT(Tasks[[#This Row],[_IsLeaf]]=1),"",IF(N(Tasks[[#This Row],[_Days]])&lt;=0,Tasks[[#This Row],[_LeafCalcStart]],WORKDAY.INTL(Tasks[[#This Row],[_LeafCalcStart]],Tasks[[#This Row],[_Days]]-1,WorkWeek,Holidays)))</f>
        <v/>
      </c>
      <c r="CL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3" s="42" t="str">
        <f aca="false">IF(Tasks[[#This Row],[_Predecessors]]="","",TRIM(MID(SUBSTITUTE(SUBSTITUTE(SUBSTITUTE(UPPER(Tasks[[#This Row],[_Predecessors]]),";",",")," ",""),",",REPT(" ",99)),1,99)))</f>
        <v/>
      </c>
      <c r="CO83" s="42" t="str">
        <f aca="false">IF(Tasks[[#This Row],[_Pred1Text]]="","",IFERROR(VALUE(LEFT(Tasks[[#This Row],[_Pred1Text]],MIN(FIND("F",Tasks[[#This Row],[_Pred1Text]]&amp;"F"),FIND("S",Tasks[[#This Row],[_Pred1Text]]&amp;"S"),FIND("+",Tasks[[#This Row],[_Pred1Text]]&amp;"+"),FIND("-",Tasks[[#This Row],[_Pred1Text]]&amp;"-"))-1)),""))</f>
        <v/>
      </c>
      <c r="CP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3" s="42" t="str">
        <f aca="false">IF(Tasks[[#This Row],[_Pred1Text]]="","",TRIM(MID(SUBSTITUTE(SUBSTITUTE(SUBSTITUTE(UPPER(Tasks[[#This Row],[_Predecessors]]),";",",")," ",""),",",REPT(" ",99)),100,99)))</f>
        <v/>
      </c>
      <c r="CS83" s="42" t="str">
        <f aca="false">IF(Tasks[[#This Row],[_Pred2Text]]="","",IFERROR(VALUE(LEFT(Tasks[[#This Row],[_Pred2Text]],MIN(FIND("F",Tasks[[#This Row],[_Pred2Text]]&amp;"F"),FIND("S",Tasks[[#This Row],[_Pred2Text]]&amp;"S"),FIND("+",Tasks[[#This Row],[_Pred2Text]]&amp;"+"),FIND("-",Tasks[[#This Row],[_Pred2Text]]&amp;"-"))-1)),""))</f>
        <v/>
      </c>
      <c r="CT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3" s="42" t="str">
        <f aca="false">IF(Tasks[[#This Row],[_Pred2Text]]="","",TRIM(MID(SUBSTITUTE(SUBSTITUTE(SUBSTITUTE(UPPER(Tasks[[#This Row],[_Predecessors]]),";",",")," ",""),",",REPT(" ",99)),199,99)))</f>
        <v/>
      </c>
      <c r="CW83" s="42" t="str">
        <f aca="false">IF(Tasks[[#This Row],[_Pred3Text]]="","",IFERROR(VALUE(LEFT(Tasks[[#This Row],[_Pred3Text]],MIN(FIND("F",Tasks[[#This Row],[_Pred3Text]]&amp;"F"),FIND("S",Tasks[[#This Row],[_Pred3Text]]&amp;"S"),FIND("+",Tasks[[#This Row],[_Pred3Text]]&amp;"+"),FIND("-",Tasks[[#This Row],[_Pred3Text]]&amp;"-"))-1)),""))</f>
        <v/>
      </c>
      <c r="CX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3" s="42" t="str">
        <f aca="false">IF(Tasks[[#This Row],[_Pred3Text]]="","",TRIM(MID(SUBSTITUTE(SUBSTITUTE(SUBSTITUTE(UPPER(Tasks[[#This Row],[_Predecessors]]),";",",")," ",""),",",REPT(" ",99)),298,99)))</f>
        <v/>
      </c>
      <c r="DA83" s="42" t="str">
        <f aca="false">IF(Tasks[[#This Row],[_Pred4Text]]="","",IFERROR(VALUE(LEFT(Tasks[[#This Row],[_Pred4Text]],MIN(FIND("F",Tasks[[#This Row],[_Pred4Text]]&amp;"F"),FIND("S",Tasks[[#This Row],[_Pred4Text]]&amp;"S"),FIND("+",Tasks[[#This Row],[_Pred4Text]]&amp;"+"),FIND("-",Tasks[[#This Row],[_Pred4Text]]&amp;"-"))-1)),""))</f>
        <v/>
      </c>
      <c r="DB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3" s="42" t="str">
        <f aca="false">IF(OR(Tasks[[#This Row],[Task Name]]="",Tasks[[#This Row],[_Resources]]=""),"",TRIM(MID(SUBSTITUTE(Tasks[[#This Row],[_Resources]],",",REPT(" ",99)),1,99)))</f>
        <v/>
      </c>
      <c r="DE83" s="42" t="str">
        <f aca="false">IF(Tasks[[#This Row],[_Res1Text]]="","",TRIM(MID(SUBSTITUTE(Tasks[[#This Row],[_Resources]],",",REPT(" ",99)),100,99)))</f>
        <v/>
      </c>
      <c r="DF83" s="42" t="str">
        <f aca="false">IF(Tasks[[#This Row],[_Res2Text]]="","",TRIM(MID(SUBSTITUTE(Tasks[[#This Row],[_Resources]],",",REPT(" ",99)),199,99)))</f>
        <v/>
      </c>
      <c r="DG83" s="42" t="str">
        <f aca="false">IF(Tasks[[#This Row],[_Res3Text]]="","",TRIM(MID(SUBSTITUTE(Tasks[[#This Row],[_Resources]],",",REPT(" ",99)),298,99)))</f>
        <v/>
      </c>
      <c r="DH83" s="42" t="n">
        <f aca="false">IF(Tasks[[#This Row],[_Res1Text]]="",0,IFERROR(MATCH(TRIM(LEFT(Tasks[[#This Row],[_Res1Text]],FIND("[",Tasks[[#This Row],[_Res1Text]]&amp;"[")-1)),res_Name,0),IFERROR(MATCH(TRIM(LEFT(Tasks[[#This Row],[_Res1Text]],FIND("[",Tasks[[#This Row],[_Res1Text]]&amp;"[")-1)),res_Initials,0),0)))</f>
        <v>0</v>
      </c>
      <c r="DI83" s="42" t="n">
        <f aca="false">IF(Tasks[[#This Row],[_Res2Text]]="",0,IFERROR(MATCH(TRIM(LEFT(Tasks[[#This Row],[_Res2Text]],FIND("[",Tasks[[#This Row],[_Res2Text]]&amp;"[")-1)),res_Name,0),IFERROR(MATCH(TRIM(LEFT(Tasks[[#This Row],[_Res2Text]],FIND("[",Tasks[[#This Row],[_Res2Text]]&amp;"[")-1)),res_Initials,0),0)))</f>
        <v>0</v>
      </c>
      <c r="DJ83" s="42" t="n">
        <f aca="false">IF(Tasks[[#This Row],[_Res3Text]]="",0,IFERROR(MATCH(TRIM(LEFT(Tasks[[#This Row],[_Res3Text]],FIND("[",Tasks[[#This Row],[_Res3Text]]&amp;"[")-1)),res_Name,0),IFERROR(MATCH(TRIM(LEFT(Tasks[[#This Row],[_Res3Text]],FIND("[",Tasks[[#This Row],[_Res3Text]]&amp;"[")-1)),res_Initials,0),0)))</f>
        <v>0</v>
      </c>
      <c r="DK83" s="42" t="n">
        <f aca="false">IF(Tasks[[#This Row],[_Res4Text]]="",0,IFERROR(MATCH(TRIM(LEFT(Tasks[[#This Row],[_Res4Text]],FIND("[",Tasks[[#This Row],[_Res4Text]]&amp;"[")-1)),res_Name,0),IFERROR(MATCH(TRIM(LEFT(Tasks[[#This Row],[_Res4Text]],FIND("[",Tasks[[#This Row],[_Res4Text]]&amp;"[")-1)),res_Initials,0),0)))</f>
        <v>0</v>
      </c>
      <c r="DL83" s="42" t="str">
        <f aca="false">IF(Tasks[[#This Row],[_Res1Text]]="","",IF(Tasks[[#This Row],[_Res1Row]]&gt;0,INDEX(res_Name,Tasks[[#This Row],[_Res1Row]]),TRIM(LEFT(Tasks[[#This Row],[_Res1Text]],FIND("[",Tasks[[#This Row],[_Res1Text]]&amp;"[")-1))))</f>
        <v/>
      </c>
      <c r="DM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3" s="42" t="n">
        <f aca="false">IF(NOT(Tasks[[#This Row],[_IsLeaf]]=1),0,(Tasks[[#This Row],[_Resource1]]&lt;&gt;"")+(Tasks[[#This Row],[_Res2]]&lt;&gt;"")+(Tasks[[#This Row],[_Res3]]&lt;&gt;"")+(Tasks[[#This Row],[_Res4]]&lt;&gt;""))</f>
        <v>0</v>
      </c>
      <c r="DO83" s="42" t="str">
        <f aca="false">IF(Tasks[[#This Row],[_Res2Text]]="","",IF(Tasks[[#This Row],[_Res2Row]]&gt;0,INDEX(res_Name,Tasks[[#This Row],[_Res2Row]]),TRIM(LEFT(Tasks[[#This Row],[_Res2Text]],FIND("[",Tasks[[#This Row],[_Res2Text]]&amp;"[")-1))))</f>
        <v/>
      </c>
      <c r="DP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3" s="42" t="n">
        <f aca="false">IF(OR(NOT(Tasks[[#This Row],[_IsLeaf]]=1),Tasks[[#This Row],[_Res2Row]]=0),0,N(Tasks[[#This Row],[_Days]])*HoursPerDay*IF(Tasks[[#This Row],[_Res2Units]]="",DefaultUnits,Tasks[[#This Row],[_Res2Units]]))</f>
        <v>0</v>
      </c>
      <c r="DR83" s="42" t="n">
        <f aca="false">IF(AND(AND(Tasks[[#This Row],[_IsLeaf]]=1,Tasks[[#This Row],[_LeafTotalWork]]&gt;0),Tasks[[#This Row],[_Res2Work]]&gt;0),Tasks[[#This Row],[_Res2Work]]/(Tasks[[#This Row],[_FinishWorkday]]-Tasks[[#This Row],[_StartWorkday]]+1),0)</f>
        <v>0</v>
      </c>
      <c r="DS83" s="42" t="n">
        <f aca="false">Tasks[[#This Row],[_Res2WorkPerWD]]*MAX(0,Tasks[[#This Row],[_StartWorkday]]-1)</f>
        <v>0</v>
      </c>
      <c r="DT83" s="42" t="n">
        <f aca="false">Tasks[[#This Row],[_Res2Work]]*Tasks[[#This Row],[_LeafProgress]]</f>
        <v>0</v>
      </c>
      <c r="DU83" s="42" t="str">
        <f aca="false">IF(Tasks[[#This Row],[_Res3Text]]="","",IF(Tasks[[#This Row],[_Res3Row]]&gt;0,INDEX(res_Name,Tasks[[#This Row],[_Res3Row]]),TRIM(LEFT(Tasks[[#This Row],[_Res3Text]],FIND("[",Tasks[[#This Row],[_Res3Text]]&amp;"[")-1))))</f>
        <v/>
      </c>
      <c r="DV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3" s="42" t="n">
        <f aca="false">IF(OR(NOT(Tasks[[#This Row],[_IsLeaf]]=1),Tasks[[#This Row],[_Res3Row]]=0),0,N(Tasks[[#This Row],[_Days]])*HoursPerDay*IF(Tasks[[#This Row],[_Res3Units]]="",DefaultUnits,Tasks[[#This Row],[_Res3Units]]))</f>
        <v>0</v>
      </c>
      <c r="DX83" s="42" t="n">
        <f aca="false">IF(AND(AND(Tasks[[#This Row],[_IsLeaf]]=1,Tasks[[#This Row],[_LeafTotalWork]]&gt;0),Tasks[[#This Row],[_Res3Work]]&gt;0),Tasks[[#This Row],[_Res3Work]]/(Tasks[[#This Row],[_FinishWorkday]]-Tasks[[#This Row],[_StartWorkday]]+1),0)</f>
        <v>0</v>
      </c>
      <c r="DY83" s="42" t="n">
        <f aca="false">Tasks[[#This Row],[_Res3WorkPerWD]]*MAX(0,Tasks[[#This Row],[_StartWorkday]]-1)</f>
        <v>0</v>
      </c>
      <c r="DZ83" s="42" t="n">
        <f aca="false">Tasks[[#This Row],[_Res3Work]]*Tasks[[#This Row],[_LeafProgress]]</f>
        <v>0</v>
      </c>
      <c r="EA83" s="42" t="str">
        <f aca="false">IF(Tasks[[#This Row],[_Res4Text]]="","",IF(Tasks[[#This Row],[_Res4Row]]&gt;0,INDEX(res_Name,Tasks[[#This Row],[_Res4Row]]),TRIM(LEFT(Tasks[[#This Row],[_Res4Text]],FIND("[",Tasks[[#This Row],[_Res4Text]]&amp;"[")-1))))</f>
        <v/>
      </c>
      <c r="EB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3" s="42" t="n">
        <f aca="false">IF(OR(NOT(Tasks[[#This Row],[_IsLeaf]]=1),Tasks[[#This Row],[_Res4Row]]=0),0,N(Tasks[[#This Row],[_Days]])*HoursPerDay*IF(Tasks[[#This Row],[_Res4Units]]="",DefaultUnits,Tasks[[#This Row],[_Res4Units]]))</f>
        <v>0</v>
      </c>
      <c r="ED83" s="42" t="n">
        <f aca="false">IF(AND(AND(Tasks[[#This Row],[_IsLeaf]]=1,Tasks[[#This Row],[_LeafTotalWork]]&gt;0),Tasks[[#This Row],[_Res4Work]]&gt;0),Tasks[[#This Row],[_Res4Work]]/(Tasks[[#This Row],[_FinishWorkday]]-Tasks[[#This Row],[_StartWorkday]]+1),0)</f>
        <v>0</v>
      </c>
      <c r="EE83" s="42" t="n">
        <f aca="false">Tasks[[#This Row],[_Res4WorkPerWD]]*MAX(0,Tasks[[#This Row],[_StartWorkday]]-1)</f>
        <v>0</v>
      </c>
      <c r="EF83" s="42" t="n">
        <f aca="false">Tasks[[#This Row],[_Res4Work]]*Tasks[[#This Row],[_LeafProgress]]</f>
        <v>0</v>
      </c>
      <c r="EG83" s="42" t="n">
        <f aca="false">IF(ISNUMBER(Tasks[[#This Row],[% Complete]]),Tasks[[#This Row],[% Complete]],IF(Tasks[[#This Row],[Stage]]="",0,IFERROR(INDEX(stg_Pct,MATCH(Tasks[[#This Row],[Stage]],stg_Name,0)),0)))</f>
        <v>0</v>
      </c>
      <c r="EH83" s="42" t="n">
        <f aca="false">IF(NOT(Tasks[[#This Row],[_IsLeaf]]=1),0,IF(N(Tasks[[#This Row],[Actual Finish]])&gt;0,1,MIN(1,Tasks[[#This Row],[_Pct]])))</f>
        <v>0</v>
      </c>
      <c r="EI83" s="42" t="n">
        <f aca="false">IF(OR(NOT(Tasks[[#This Row],[_IsLeaf]]=1),Tasks[[#This Row],[_Res1Row]]=0),0,N(Tasks[[#This Row],[_Days]])*HoursPerDay*IF(Tasks[[#This Row],[_Units1]]="",DefaultUnits,Tasks[[#This Row],[_Units1]]))</f>
        <v>0</v>
      </c>
      <c r="EJ83" s="42" t="n">
        <f aca="false">Tasks[[#This Row],[_LeafWork]]+Tasks[[#This Row],[_Res2Work]]+Tasks[[#This Row],[_Res3Work]]+Tasks[[#This Row],[_Res4Work]]</f>
        <v>0</v>
      </c>
      <c r="EK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3" s="42" t="n">
        <f aca="false">IF(NOT(Tasks[[#This Row],[_IsLeaf]]=1),0,MAX(_xlfn.MAXIFS(Tasks[_Row],Tasks[_Pred1UID],Tasks[[#This Row],[UID]]),_xlfn.MAXIFS(Tasks[_Row],Tasks[_Pred2UID],Tasks[[#This Row],[UID]]),_xlfn.MAXIFS(Tasks[_Row],Tasks[_Pred3UID],Tasks[[#This Row],[UID]]),_xlfn.MAXIFS(Tasks[_Row],Tasks[_Pred4UID],Tasks[[#This Row],[UID]])))</f>
        <v>0</v>
      </c>
      <c r="ET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3" s="89" t="str">
        <f aca="false">IF(NOT(Tasks[[#This Row],[_IsLeaf]]=1),"",IF(N(Tasks[[#This Row],[_Days]])&lt;=0,Tasks[[#This Row],[_LeafLateFinish]],WORKDAY.INTL(Tasks[[#This Row],[_LeafLateFinish]],-(Tasks[[#This Row],[_Days]]-1),WorkWeek,Holidays)))</f>
        <v/>
      </c>
      <c r="EW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3" s="88" t="b">
        <f aca="false">AND(Tasks[[#This Row],[_IsLeaf]]=1,Tasks[[#This Row],[_LeafProgress]]&lt;1,N(Tasks[[#This Row],[_LeafTotalSlack]])&lt;=CriticalSlackDays)</f>
        <v>0</v>
      </c>
      <c r="EY83" s="42" t="n">
        <f aca="false">IF(AND(Tasks[[#This Row],[_IsLeaf]]=1,Tasks[[#This Row],[_ConstraintCode]]=1,Tasks[[#This Row],[Mode]]&lt;&gt;"Manual",N(Tasks[[#This Row],[Actual Start]])=0),MAX(0,N(Tasks[[#This Row],[Free Slack]])),0)</f>
        <v>0</v>
      </c>
      <c r="EZ83" s="89" t="str">
        <f aca="false">IF(NOT(Tasks[[#This Row],[_IsLeaf]]=1),"",IF(Tasks[[#This Row],[_AlapShift]]=0,Tasks[[#This Row],[_LeafCalcStart]],WORKDAY.INTL(Tasks[[#This Row],[_LeafCalcStart]],Tasks[[#This Row],[_AlapShift]],WorkWeek,Holidays)))</f>
        <v/>
      </c>
      <c r="FA83" s="89" t="str">
        <f aca="false">IF(NOT(Tasks[[#This Row],[_IsLeaf]]=1),"",IF(Tasks[[#This Row],[_AlapShift]]=0,Tasks[[#This Row],[_LeafCalcFinish]],WORKDAY.INTL(Tasks[[#This Row],[_LeafCalcFinish]],Tasks[[#This Row],[_AlapShift]],WorkWeek,Holidays)))</f>
        <v/>
      </c>
      <c r="FB83" s="89" t="str">
        <f aca="false">IF(NOT(Tasks[[#This Row],[_IsLeaf]]=1),"",IF(Tasks[[#This Row],[_AlapShift]]=0,Tasks[[#This Row],[_LeafFcstStart]],WORKDAY.INTL(Tasks[[#This Row],[_LeafFcstStart]],Tasks[[#This Row],[_AlapShift]],WorkWeek,Holidays)))</f>
        <v/>
      </c>
      <c r="FC83" s="89" t="str">
        <f aca="false">IF(NOT(Tasks[[#This Row],[_IsLeaf]]=1),"",IF(Tasks[[#This Row],[_AlapShift]]=0,Tasks[[#This Row],[_LeafFcstFinish]],WORKDAY.INTL(Tasks[[#This Row],[_LeafFcstFinish]],Tasks[[#This Row],[_AlapShift]],WorkWeek,Holidays)))</f>
        <v/>
      </c>
      <c r="FD83" s="89" t="str">
        <f aca="false">IF(Tasks[[#This Row],[Task Name]]="","",IF(Tasks[[#This Row],[_IsSummary]],MIN(INDEX(Tasks[_ShownCalcStart],Tasks[[#This Row],[_Row]]+1):INDEX(Tasks[_ShownCalcStart],Tasks[[#This Row],[_Row]]+Tasks[[#This Row],[_Descendants]])),Tasks[[#This Row],[_ShownCalcStart]]))</f>
        <v/>
      </c>
      <c r="FE83" s="89" t="str">
        <f aca="false">IF(Tasks[[#This Row],[Task Name]]="","",IF(Tasks[[#This Row],[_IsSummary]],MAX(INDEX(Tasks[_ShownCalcFinish],Tasks[[#This Row],[_Row]]+1):INDEX(Tasks[_ShownCalcFinish],Tasks[[#This Row],[_Row]]+Tasks[[#This Row],[_Descendants]])),Tasks[[#This Row],[_ShownCalcFinish]]))</f>
        <v/>
      </c>
      <c r="FF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3" s="42" t="n">
        <f aca="false">IF(AND(Tasks[[#This Row],[_IsLeaf]]=1,Tasks[[#This Row],[_LeafTotalWork]]&gt;0),NETWORKDAYS.INTL(ProjectStart,Tasks[[#This Row],[_ShownFcstStart]],WorkWeek,Holidays),0)</f>
        <v>0</v>
      </c>
      <c r="FS83" s="42" t="n">
        <f aca="false">IF(AND(Tasks[[#This Row],[_IsLeaf]]=1,Tasks[[#This Row],[_LeafTotalWork]]&gt;0),MAX(Tasks[[#This Row],[_StartWorkday]],NETWORKDAYS.INTL(ProjectStart,Tasks[[#This Row],[_ShownFcstFinish]],WorkWeek,Holidays)),0)</f>
        <v>0</v>
      </c>
      <c r="FT83" s="42" t="n">
        <f aca="false">IF(AND(Tasks[[#This Row],[_IsLeaf]]=1,Tasks[[#This Row],[_LeafTotalWork]]&gt;0),Tasks[[#This Row],[_LeafWork]]/(Tasks[[#This Row],[_FinishWorkday]]-Tasks[[#This Row],[_StartWorkday]]+1),0)</f>
        <v>0</v>
      </c>
      <c r="FU83" s="42" t="n">
        <f aca="false">Tasks[[#This Row],[_WorkPerWorkday]]*(Tasks[[#This Row],[_StartWorkday]]-1)</f>
        <v>-0</v>
      </c>
      <c r="FV83" s="42" t="n">
        <f aca="false">IF(Tasks[[#This Row],[_IsLeaf]]=1,MAX(N(Tasks[[#This Row],[_Days]]),0.1),0)</f>
        <v>0</v>
      </c>
      <c r="FW83" s="42" t="n">
        <f aca="false">Tasks[[#This Row],[_WeightDur]]*Tasks[[#This Row],[_LeafProgress]]</f>
        <v>0</v>
      </c>
      <c r="FX83" s="42" t="n">
        <f aca="false">Tasks[[#This Row],[_WeightDur]]*Tasks[[#This Row],[_PlannedPct]]</f>
        <v>0</v>
      </c>
      <c r="FY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3" s="42" t="str">
        <f aca="false">IF(AND(Tasks[[#This Row],[_IsLeaf]]=1,N(Tasks[[#This Row],[_Days]])=0,Tasks[[#This Row],[_LeafProgress]]&lt;1),Tasks[[#This Row],[_ShownFcstFinish]]+Tasks[[#This Row],[_Row]]/100000,"")</f>
        <v/>
      </c>
      <c r="GA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3" s="42" t="str">
        <f aca="false">IF(Tasks[[#This Row],[Task Name]]="","",LEFT(Tasks[[#This Row],[WBS]],FIND(".",Tasks[[#This Row],[WBS]]&amp;".")-1))</f>
        <v/>
      </c>
      <c r="GC83" s="42" t="str">
        <f aca="false">IF(AND(Tasks[[#This Row],[Task Name]]&lt;&gt;"",Tasks[[#This Row],[_Level]]=1),Tasks[[#This Row],[_Row]],"")</f>
        <v/>
      </c>
      <c r="GD83" s="42" t="str">
        <f aca="false">IF(AND(Tasks[[#This Row],[_IsLeaf]]=1,N(Tasks[[#This Row],[_Days]])=0),Tasks[[#This Row],[Planned Finish]]+Tasks[[#This Row],[_Row]]/100000,"")</f>
        <v/>
      </c>
      <c r="GE83" s="42" t="str">
        <f aca="false">IF(AND(Tasks[[#This Row],[_IsLeaf]]=1,Tasks[[#This Row],[_LeafProgress]]&lt;1,OR(N(Tasks[[#This Row],[Finish Var]])&gt;0,Tasks[[#This Row],[Status]]="Late Start")),MAX(0,Tasks[[#This Row],[Finish Var]])+1-Tasks[[#This Row],[_Row]]/1000000,"")</f>
        <v/>
      </c>
      <c r="GF83" s="42" t="str">
        <f aca="false">IF(AND(Tasks[[#This Row],[_IsLeaf]]=1,N(Tasks[[#This Row],[Actual Start]])=0,Tasks[[#This Row],[_ShownFcstStart]]&gt;=StatusDate,Tasks[[#This Row],[_ShownFcstStart]]&lt;=LookaheadEnd),Tasks[[#This Row],[_ShownFcstStart]]+Tasks[[#This Row],[_Row]]/100000,"")</f>
        <v/>
      </c>
      <c r="GG83" s="42" t="str">
        <f aca="false">IF(AND(Tasks[[#This Row],[_IsLeaf]]=1,Tasks[[#This Row],[_LeafProgress]]&lt;1,Tasks[[#This Row],[_ShownFcstFinish]]&gt;=StatusDate,Tasks[[#This Row],[_ShownFcstFinish]]&lt;=LookaheadEnd),Tasks[[#This Row],[_ShownFcstFinish]]+Tasks[[#This Row],[_Row]]/100000,"")</f>
        <v/>
      </c>
      <c r="GH83" s="42" t="str">
        <f aca="false">IF(Tasks[[#This Row],[_LeafCritical]],Tasks[[#This Row],[_ShownFcstStart]]+Tasks[[#This Row],[_Row]]/100000,"")</f>
        <v/>
      </c>
      <c r="GI83" s="42" t="n">
        <f aca="false">Tasks[[#This Row],[_LeafWork]]*Tasks[[#This Row],[_LeafProgress]]</f>
        <v>0</v>
      </c>
      <c r="GJ83" s="89" t="str">
        <f aca="false">IF(AND(Tasks[[#This Row],[_IsLeaf]]=1,Tasks[[#This Row],[_LeafProgress]]&gt;=1),IF(N(Tasks[[#This Row],[Actual Finish]])&gt;0,Tasks[[#This Row],[Actual Finish]],Tasks[[#This Row],[_ShownFcstFinish]]),"")</f>
        <v/>
      </c>
      <c r="GK83" s="42" t="n">
        <f aca="false">IF(Tasks[[#This Row],[_IsLeaf]]=1,N(Tasks[[#This Row],[Story Points]]),0)</f>
        <v>0</v>
      </c>
      <c r="GL83" s="42" t="str">
        <f aca="false">""</f>
        <v/>
      </c>
      <c r="GM83" s="88" t="b">
        <f aca="false">IF(Tasks[[#This Row],[Task Name]]="",FALSE(),AND(Tasks[[#This Row],[_IsLeaf]]=1,N(Tasks[[#This Row],[_Days]])=0))</f>
        <v>0</v>
      </c>
      <c r="GN83" s="89" t="n">
        <f aca="false">IF(Tasks[[#This Row],[Task Name]]="",0,IF(AND(Tasks[[#This Row],[_IsLeaf]]=1,NOT(Tasks[[#This Row],[_IsMilestone]]),N(Tasks[[#This Row],[Progress]])&gt;0),Tasks[[#This Row],[Start]],0))</f>
        <v>0</v>
      </c>
      <c r="GO83" s="89" t="n">
        <f aca="false">IF(Tasks[[#This Row],[_DoneFrom]]=0,0,IF(Tasks[[#This Row],[Progress]]&gt;=1,Tasks[[#This Row],[Finish]],MAX(Tasks[[#This Row],[_DoneFrom]],Tasks[[#This Row],[Start]]+ROUND((Tasks[[#This Row],[Finish]]-Tasks[[#This Row],[Start]]+1)*Tasks[[#This Row],[Progress]],0)-1)))</f>
        <v>0</v>
      </c>
      <c r="GP83" s="89" t="n">
        <f aca="false">IF(Tasks[[#This Row],[Task Name]]="",0,IF(OR(NOT(Tasks[[#This Row],[_IsLeaf]]=1),Tasks[[#This Row],[_IsMilestone]],N(Tasks[[#This Row],[Progress]])&gt;=1),0,IF(Tasks[[#This Row],[_DoneTo]]&gt;0,Tasks[[#This Row],[_DoneTo]]+1,Tasks[[#This Row],[Start]])))</f>
        <v>0</v>
      </c>
      <c r="GQ83" s="89" t="n">
        <f aca="false">IF(Tasks[[#This Row],[_RemFrom]]=0,0,Tasks[[#This Row],[Finish]])</f>
        <v>0</v>
      </c>
      <c r="GR83" s="88" t="b">
        <f aca="false">IF(Tasks[[#This Row],[Task Name]]="",FALSE(),OR(NOT(BaselineSet),N(Tasks[[#This Row],[Baseline Start]])&gt;0))</f>
        <v>0</v>
      </c>
      <c r="GS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3" s="90" t="str">
        <f aca="false">IF(Tasks[[#This Row],[_IsLeaf]]=1,Tasks[[#This Row],[_Row]],"")</f>
        <v/>
      </c>
      <c r="GW83" s="90" t="str">
        <f aca="false">IFERROR(INDEX(Tasks[UID],SMALL(Tasks[_PickKey],Tasks[[#This Row],[_Row]]))&amp;" "&amp;INDEX(Tasks[Task Name],SMALL(Tasks[_PickKey],Tasks[[#This Row],[_Row]])),"")</f>
        <v/>
      </c>
      <c r="GX83" s="42" t="str">
        <f aca="false">IF(Tasks[[#This Row],[Task Name]]="","",IF(Tasks[[#This Row],[_IsSummary]],NETWORKDAYS.INTL(Tasks[[#This Row],[Start]],Tasks[[#This Row],[Finish]],WorkWeek,Holidays),N(Tasks[[#This Row],[_Days]])))</f>
        <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3"/>
      <c r="U84" s="23"/>
      <c r="V84" s="83"/>
      <c r="W84" s="23"/>
      <c r="X84" s="83"/>
      <c r="Y84" s="23"/>
      <c r="Z84" s="83"/>
      <c r="AA84" s="23"/>
      <c r="AB84" s="23"/>
      <c r="AC84" s="7"/>
      <c r="AD84" s="7"/>
      <c r="AE84" s="62" t="str">
        <f aca="false">IF(Tasks[[#This Row],[Task Name]]="","",IF(Tasks[[#This Row],[_IsSummary]],MIN(INDEX(Tasks[_ShownFcstStart],Tasks[[#This Row],[_Row]]+1):INDEX(Tasks[_ShownFcstStart],Tasks[[#This Row],[_Row]]+Tasks[[#This Row],[_Descendants]])),Tasks[[#This Row],[_ShownFcstStart]]))</f>
        <v/>
      </c>
      <c r="AF84" s="62"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4" s="7"/>
      <c r="AK84" s="22"/>
      <c r="AL84" s="23"/>
      <c r="AM84" s="7"/>
      <c r="AN84" s="46"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2" t="str">
        <f aca="false">IF(Tasks[[#This Row],[Task Name]]="","",IF(N(Tasks[[#This Row],[Baseline Start]])&gt;0,Tasks[[#This Row],[Baseline Start]],Tasks[[#This Row],[_CalcStart]]))</f>
        <v/>
      </c>
      <c r="AR84" s="62" t="str">
        <f aca="false">IF(Tasks[[#This Row],[Task Name]]="","",IF(N(Tasks[[#This Row],[Baseline Finish]])&gt;0,Tasks[[#This Row],[Baseline Finish]],Tasks[[#This Row],[_CalcFinish]]))</f>
        <v/>
      </c>
      <c r="AS84" s="46" t="str">
        <f aca="false">IF(Tasks[[#This Row],[Task Name]]="","",IF(Tasks[[#This Row],[Start]]&gt;=Tasks[[#This Row],[Planned Start]],NETWORKDAYS.INTL(Tasks[[#This Row],[Planned Start]],Tasks[[#This Row],[Start]],WorkWeek,Holidays)-1,1-NETWORKDAYS.INTL(Tasks[[#This Row],[Start]],Tasks[[#This Row],[Planned Start]],WorkWeek,Holidays)))</f>
        <v/>
      </c>
      <c r="AT84" s="62" t="str">
        <f aca="false">IF(Tasks[[#This Row],[Task Name]]="","",IF(Tasks[[#This Row],[_IsSummary]],MIN(INDEX(Tasks[_LeafLateStart],Tasks[[#This Row],[_Row]]+1):INDEX(Tasks[_LeafLateStart],Tasks[[#This Row],[_Row]]+Tasks[[#This Row],[_Descendants]])),Tasks[[#This Row],[_LeafLateStart]]))</f>
        <v/>
      </c>
      <c r="AU84" s="62" t="str">
        <f aca="false">IF(Tasks[[#This Row],[Task Name]]="","",IF(Tasks[[#This Row],[_IsSummary]],MAX(INDEX(Tasks[_LeafLateFinish],Tasks[[#This Row],[_Row]]+1):INDEX(Tasks[_LeafLateFinish],Tasks[[#This Row],[_Row]]+Tasks[[#This Row],[_Descendants]])),Tasks[[#This Row],[_LeafLateFinish]]))</f>
        <v/>
      </c>
      <c r="AV84" s="46"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4"/>
      <c r="BA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5"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6"/>
      <c r="BJ84" s="22"/>
      <c r="BK84" s="46" t="str">
        <f aca="false">IF(OR(Tasks[[#This Row],[Task Name]]="",Tasks[[#This Row],[Baseline Duration]]=""),"",Tasks[[#This Row],[_SpanDays]]-N(Tasks[[#This Row],[Baseline Duration]]))</f>
        <v/>
      </c>
      <c r="BL84" s="85" t="str">
        <f aca="false">IF(OR(Tasks[[#This Row],[Task Name]]="",Tasks[[#This Row],[Baseline Work]]=""),"",Tasks[[#This Row],[Work]]-N(Tasks[[#This Row],[Baseline Work]]))</f>
        <v/>
      </c>
      <c r="BM84" s="62" t="str">
        <f aca="false">IF(Tasks[[#This Row],[Task Name]]="","",IF(OR(TakeBaseline="Yes",N(Tasks[[#This Row],[Baseline Start]])=0),Tasks[[#This Row],[Start]],Tasks[[#This Row],[Baseline Start]]))</f>
        <v/>
      </c>
      <c r="BN84" s="62"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5" t="str">
        <f aca="false">IF(Tasks[[#This Row],[Task Name]]="","",IF(OR(TakeBaseline="Yes",N(Tasks[[#This Row],[Baseline Work]])=0),Tasks[[#This Row],[Work]],Tasks[[#This Row],[Baseline Work]]))</f>
        <v/>
      </c>
      <c r="BQ84" s="7"/>
      <c r="BR84" s="7"/>
      <c r="BS84" s="22"/>
      <c r="BT84" s="87"/>
      <c r="BU84" s="42" t="str">
        <f aca="false">IF(Tasks[[#This Row],[Task Name]]="","",MAX(1,N(Tasks[[#This Row],[Level]])))</f>
        <v/>
      </c>
      <c r="BV84" s="42" t="n">
        <f aca="false">ROW()-ROW(Tasks[[#Headers],[ID]])</f>
        <v>79</v>
      </c>
      <c r="BW84" s="42" t="n">
        <f aca="false">IF(OR(Tasks[[#This Row],[Task Name]]="",Tasks[[#This Row],[_Level]]&lt;=1),0,IFERROR(LOOKUP(2,1/(Tasks[[#Headers],[_Level]]:Tasks[[#This Row],[_Level]]=Tasks[[#This Row],[_Level]]-1),ROW(Tasks[[#Headers],[_Level]]:Tasks[[#This Row],[_Level]])),0))</f>
        <v>0</v>
      </c>
      <c r="BX84" s="42" t="n">
        <f aca="false">IFERROR(N(INDEX(Tasks[_Level],Tasks[[#This Row],[_Row]]+1)),0)</f>
        <v>0</v>
      </c>
      <c r="BY84" s="88" t="b">
        <f aca="false">AND(Tasks[[#This Row],[Task Name]]&lt;&gt;"",Tasks[[#This Row],[_NextLevel]]&gt;Tasks[[#This Row],[_Level]])</f>
        <v>0</v>
      </c>
      <c r="BZ84" s="42" t="n">
        <f aca="false">IF(Tasks[[#This Row],[_IsSummary]],COUNTIF(Tasks[WBS],Tasks[[#This Row],[WBS]]&amp;".*"),0)</f>
        <v>0</v>
      </c>
      <c r="CA84" s="42" t="n">
        <f aca="false">IF(AND(Tasks[[#This Row],[Task Name]]&lt;&gt;"",NOT(Tasks[[#This Row],[_IsSummary]])),1,0)</f>
        <v>0</v>
      </c>
      <c r="CB84" s="42" t="n">
        <f aca="false">IF(N(Tasks[[#This Row],[_Pred1UID]])=0,0,IFERROR(MATCH(Tasks[[#This Row],[_Pred1UID]],Tasks[UID],0),-1))</f>
        <v>0</v>
      </c>
      <c r="CC84" s="42" t="n">
        <f aca="false">IF(N(Tasks[[#This Row],[_Pred2UID]])=0,0,IFERROR(MATCH(Tasks[[#This Row],[_Pred2UID]],Tasks[UID],0),-1))</f>
        <v>0</v>
      </c>
      <c r="CD84" s="42" t="n">
        <f aca="false">IF(N(Tasks[[#This Row],[_Pred3UID]])=0,0,IFERROR(MATCH(Tasks[[#This Row],[_Pred3UID]],Tasks[UID],0),-1))</f>
        <v>0</v>
      </c>
      <c r="CE84" s="42" t="n">
        <f aca="false">IF(N(Tasks[[#This Row],[_Pred4UID]])=0,0,IFERROR(MATCH(Tasks[[#This Row],[_Pred4UID]],Tasks[UID],0),-1))</f>
        <v>0</v>
      </c>
      <c r="CF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4" s="89" t="n">
        <f aca="false">IF(OR(Tasks[[#This Row],[_ConstraintCode]]=2,Tasks[[#This Row],[_ConstraintCode]]=3,Tasks[[#This Row],[_ConstraintCode]]=4,Tasks[[#This Row],[_ConstraintCode]]=6),Tasks[[#This Row],[_ConstraintStart]],0)</f>
        <v>0</v>
      </c>
      <c r="CI84" s="89" t="n">
        <f aca="false">IF(OR(Tasks[[#This Row],[_ConstraintCode]]=2,Tasks[[#This Row],[_ConstraintCode]]=3,Tasks[[#This Row],[_ConstraintCode]]=5,Tasks[[#This Row],[_ConstraintCode]]=7),Tasks[[#This Row],[_ConstraintStart]],2958465)</f>
        <v>2958465</v>
      </c>
      <c r="CJ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4" s="89" t="str">
        <f aca="false">IF(NOT(Tasks[[#This Row],[_IsLeaf]]=1),"",IF(N(Tasks[[#This Row],[_Days]])&lt;=0,Tasks[[#This Row],[_LeafCalcStart]],WORKDAY.INTL(Tasks[[#This Row],[_LeafCalcStart]],Tasks[[#This Row],[_Days]]-1,WorkWeek,Holidays)))</f>
        <v/>
      </c>
      <c r="CL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4" s="42" t="str">
        <f aca="false">IF(Tasks[[#This Row],[_Predecessors]]="","",TRIM(MID(SUBSTITUTE(SUBSTITUTE(SUBSTITUTE(UPPER(Tasks[[#This Row],[_Predecessors]]),";",",")," ",""),",",REPT(" ",99)),1,99)))</f>
        <v/>
      </c>
      <c r="CO84" s="42" t="str">
        <f aca="false">IF(Tasks[[#This Row],[_Pred1Text]]="","",IFERROR(VALUE(LEFT(Tasks[[#This Row],[_Pred1Text]],MIN(FIND("F",Tasks[[#This Row],[_Pred1Text]]&amp;"F"),FIND("S",Tasks[[#This Row],[_Pred1Text]]&amp;"S"),FIND("+",Tasks[[#This Row],[_Pred1Text]]&amp;"+"),FIND("-",Tasks[[#This Row],[_Pred1Text]]&amp;"-"))-1)),""))</f>
        <v/>
      </c>
      <c r="CP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4" s="42" t="str">
        <f aca="false">IF(Tasks[[#This Row],[_Pred1Text]]="","",TRIM(MID(SUBSTITUTE(SUBSTITUTE(SUBSTITUTE(UPPER(Tasks[[#This Row],[_Predecessors]]),";",",")," ",""),",",REPT(" ",99)),100,99)))</f>
        <v/>
      </c>
      <c r="CS84" s="42" t="str">
        <f aca="false">IF(Tasks[[#This Row],[_Pred2Text]]="","",IFERROR(VALUE(LEFT(Tasks[[#This Row],[_Pred2Text]],MIN(FIND("F",Tasks[[#This Row],[_Pred2Text]]&amp;"F"),FIND("S",Tasks[[#This Row],[_Pred2Text]]&amp;"S"),FIND("+",Tasks[[#This Row],[_Pred2Text]]&amp;"+"),FIND("-",Tasks[[#This Row],[_Pred2Text]]&amp;"-"))-1)),""))</f>
        <v/>
      </c>
      <c r="CT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4" s="42" t="str">
        <f aca="false">IF(Tasks[[#This Row],[_Pred2Text]]="","",TRIM(MID(SUBSTITUTE(SUBSTITUTE(SUBSTITUTE(UPPER(Tasks[[#This Row],[_Predecessors]]),";",",")," ",""),",",REPT(" ",99)),199,99)))</f>
        <v/>
      </c>
      <c r="CW84" s="42" t="str">
        <f aca="false">IF(Tasks[[#This Row],[_Pred3Text]]="","",IFERROR(VALUE(LEFT(Tasks[[#This Row],[_Pred3Text]],MIN(FIND("F",Tasks[[#This Row],[_Pred3Text]]&amp;"F"),FIND("S",Tasks[[#This Row],[_Pred3Text]]&amp;"S"),FIND("+",Tasks[[#This Row],[_Pred3Text]]&amp;"+"),FIND("-",Tasks[[#This Row],[_Pred3Text]]&amp;"-"))-1)),""))</f>
        <v/>
      </c>
      <c r="CX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4" s="42" t="str">
        <f aca="false">IF(Tasks[[#This Row],[_Pred3Text]]="","",TRIM(MID(SUBSTITUTE(SUBSTITUTE(SUBSTITUTE(UPPER(Tasks[[#This Row],[_Predecessors]]),";",",")," ",""),",",REPT(" ",99)),298,99)))</f>
        <v/>
      </c>
      <c r="DA84" s="42" t="str">
        <f aca="false">IF(Tasks[[#This Row],[_Pred4Text]]="","",IFERROR(VALUE(LEFT(Tasks[[#This Row],[_Pred4Text]],MIN(FIND("F",Tasks[[#This Row],[_Pred4Text]]&amp;"F"),FIND("S",Tasks[[#This Row],[_Pred4Text]]&amp;"S"),FIND("+",Tasks[[#This Row],[_Pred4Text]]&amp;"+"),FIND("-",Tasks[[#This Row],[_Pred4Text]]&amp;"-"))-1)),""))</f>
        <v/>
      </c>
      <c r="DB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4" s="42" t="str">
        <f aca="false">IF(OR(Tasks[[#This Row],[Task Name]]="",Tasks[[#This Row],[_Resources]]=""),"",TRIM(MID(SUBSTITUTE(Tasks[[#This Row],[_Resources]],",",REPT(" ",99)),1,99)))</f>
        <v/>
      </c>
      <c r="DE84" s="42" t="str">
        <f aca="false">IF(Tasks[[#This Row],[_Res1Text]]="","",TRIM(MID(SUBSTITUTE(Tasks[[#This Row],[_Resources]],",",REPT(" ",99)),100,99)))</f>
        <v/>
      </c>
      <c r="DF84" s="42" t="str">
        <f aca="false">IF(Tasks[[#This Row],[_Res2Text]]="","",TRIM(MID(SUBSTITUTE(Tasks[[#This Row],[_Resources]],",",REPT(" ",99)),199,99)))</f>
        <v/>
      </c>
      <c r="DG84" s="42" t="str">
        <f aca="false">IF(Tasks[[#This Row],[_Res3Text]]="","",TRIM(MID(SUBSTITUTE(Tasks[[#This Row],[_Resources]],",",REPT(" ",99)),298,99)))</f>
        <v/>
      </c>
      <c r="DH84" s="42" t="n">
        <f aca="false">IF(Tasks[[#This Row],[_Res1Text]]="",0,IFERROR(MATCH(TRIM(LEFT(Tasks[[#This Row],[_Res1Text]],FIND("[",Tasks[[#This Row],[_Res1Text]]&amp;"[")-1)),res_Name,0),IFERROR(MATCH(TRIM(LEFT(Tasks[[#This Row],[_Res1Text]],FIND("[",Tasks[[#This Row],[_Res1Text]]&amp;"[")-1)),res_Initials,0),0)))</f>
        <v>0</v>
      </c>
      <c r="DI84" s="42" t="n">
        <f aca="false">IF(Tasks[[#This Row],[_Res2Text]]="",0,IFERROR(MATCH(TRIM(LEFT(Tasks[[#This Row],[_Res2Text]],FIND("[",Tasks[[#This Row],[_Res2Text]]&amp;"[")-1)),res_Name,0),IFERROR(MATCH(TRIM(LEFT(Tasks[[#This Row],[_Res2Text]],FIND("[",Tasks[[#This Row],[_Res2Text]]&amp;"[")-1)),res_Initials,0),0)))</f>
        <v>0</v>
      </c>
      <c r="DJ84" s="42" t="n">
        <f aca="false">IF(Tasks[[#This Row],[_Res3Text]]="",0,IFERROR(MATCH(TRIM(LEFT(Tasks[[#This Row],[_Res3Text]],FIND("[",Tasks[[#This Row],[_Res3Text]]&amp;"[")-1)),res_Name,0),IFERROR(MATCH(TRIM(LEFT(Tasks[[#This Row],[_Res3Text]],FIND("[",Tasks[[#This Row],[_Res3Text]]&amp;"[")-1)),res_Initials,0),0)))</f>
        <v>0</v>
      </c>
      <c r="DK84" s="42" t="n">
        <f aca="false">IF(Tasks[[#This Row],[_Res4Text]]="",0,IFERROR(MATCH(TRIM(LEFT(Tasks[[#This Row],[_Res4Text]],FIND("[",Tasks[[#This Row],[_Res4Text]]&amp;"[")-1)),res_Name,0),IFERROR(MATCH(TRIM(LEFT(Tasks[[#This Row],[_Res4Text]],FIND("[",Tasks[[#This Row],[_Res4Text]]&amp;"[")-1)),res_Initials,0),0)))</f>
        <v>0</v>
      </c>
      <c r="DL84" s="42" t="str">
        <f aca="false">IF(Tasks[[#This Row],[_Res1Text]]="","",IF(Tasks[[#This Row],[_Res1Row]]&gt;0,INDEX(res_Name,Tasks[[#This Row],[_Res1Row]]),TRIM(LEFT(Tasks[[#This Row],[_Res1Text]],FIND("[",Tasks[[#This Row],[_Res1Text]]&amp;"[")-1))))</f>
        <v/>
      </c>
      <c r="DM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4" s="42" t="n">
        <f aca="false">IF(NOT(Tasks[[#This Row],[_IsLeaf]]=1),0,(Tasks[[#This Row],[_Resource1]]&lt;&gt;"")+(Tasks[[#This Row],[_Res2]]&lt;&gt;"")+(Tasks[[#This Row],[_Res3]]&lt;&gt;"")+(Tasks[[#This Row],[_Res4]]&lt;&gt;""))</f>
        <v>0</v>
      </c>
      <c r="DO84" s="42" t="str">
        <f aca="false">IF(Tasks[[#This Row],[_Res2Text]]="","",IF(Tasks[[#This Row],[_Res2Row]]&gt;0,INDEX(res_Name,Tasks[[#This Row],[_Res2Row]]),TRIM(LEFT(Tasks[[#This Row],[_Res2Text]],FIND("[",Tasks[[#This Row],[_Res2Text]]&amp;"[")-1))))</f>
        <v/>
      </c>
      <c r="DP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4" s="42" t="n">
        <f aca="false">IF(OR(NOT(Tasks[[#This Row],[_IsLeaf]]=1),Tasks[[#This Row],[_Res2Row]]=0),0,N(Tasks[[#This Row],[_Days]])*HoursPerDay*IF(Tasks[[#This Row],[_Res2Units]]="",DefaultUnits,Tasks[[#This Row],[_Res2Units]]))</f>
        <v>0</v>
      </c>
      <c r="DR84" s="42" t="n">
        <f aca="false">IF(AND(AND(Tasks[[#This Row],[_IsLeaf]]=1,Tasks[[#This Row],[_LeafTotalWork]]&gt;0),Tasks[[#This Row],[_Res2Work]]&gt;0),Tasks[[#This Row],[_Res2Work]]/(Tasks[[#This Row],[_FinishWorkday]]-Tasks[[#This Row],[_StartWorkday]]+1),0)</f>
        <v>0</v>
      </c>
      <c r="DS84" s="42" t="n">
        <f aca="false">Tasks[[#This Row],[_Res2WorkPerWD]]*MAX(0,Tasks[[#This Row],[_StartWorkday]]-1)</f>
        <v>0</v>
      </c>
      <c r="DT84" s="42" t="n">
        <f aca="false">Tasks[[#This Row],[_Res2Work]]*Tasks[[#This Row],[_LeafProgress]]</f>
        <v>0</v>
      </c>
      <c r="DU84" s="42" t="str">
        <f aca="false">IF(Tasks[[#This Row],[_Res3Text]]="","",IF(Tasks[[#This Row],[_Res3Row]]&gt;0,INDEX(res_Name,Tasks[[#This Row],[_Res3Row]]),TRIM(LEFT(Tasks[[#This Row],[_Res3Text]],FIND("[",Tasks[[#This Row],[_Res3Text]]&amp;"[")-1))))</f>
        <v/>
      </c>
      <c r="DV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4" s="42" t="n">
        <f aca="false">IF(OR(NOT(Tasks[[#This Row],[_IsLeaf]]=1),Tasks[[#This Row],[_Res3Row]]=0),0,N(Tasks[[#This Row],[_Days]])*HoursPerDay*IF(Tasks[[#This Row],[_Res3Units]]="",DefaultUnits,Tasks[[#This Row],[_Res3Units]]))</f>
        <v>0</v>
      </c>
      <c r="DX84" s="42" t="n">
        <f aca="false">IF(AND(AND(Tasks[[#This Row],[_IsLeaf]]=1,Tasks[[#This Row],[_LeafTotalWork]]&gt;0),Tasks[[#This Row],[_Res3Work]]&gt;0),Tasks[[#This Row],[_Res3Work]]/(Tasks[[#This Row],[_FinishWorkday]]-Tasks[[#This Row],[_StartWorkday]]+1),0)</f>
        <v>0</v>
      </c>
      <c r="DY84" s="42" t="n">
        <f aca="false">Tasks[[#This Row],[_Res3WorkPerWD]]*MAX(0,Tasks[[#This Row],[_StartWorkday]]-1)</f>
        <v>0</v>
      </c>
      <c r="DZ84" s="42" t="n">
        <f aca="false">Tasks[[#This Row],[_Res3Work]]*Tasks[[#This Row],[_LeafProgress]]</f>
        <v>0</v>
      </c>
      <c r="EA84" s="42" t="str">
        <f aca="false">IF(Tasks[[#This Row],[_Res4Text]]="","",IF(Tasks[[#This Row],[_Res4Row]]&gt;0,INDEX(res_Name,Tasks[[#This Row],[_Res4Row]]),TRIM(LEFT(Tasks[[#This Row],[_Res4Text]],FIND("[",Tasks[[#This Row],[_Res4Text]]&amp;"[")-1))))</f>
        <v/>
      </c>
      <c r="EB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4" s="42" t="n">
        <f aca="false">IF(OR(NOT(Tasks[[#This Row],[_IsLeaf]]=1),Tasks[[#This Row],[_Res4Row]]=0),0,N(Tasks[[#This Row],[_Days]])*HoursPerDay*IF(Tasks[[#This Row],[_Res4Units]]="",DefaultUnits,Tasks[[#This Row],[_Res4Units]]))</f>
        <v>0</v>
      </c>
      <c r="ED84" s="42" t="n">
        <f aca="false">IF(AND(AND(Tasks[[#This Row],[_IsLeaf]]=1,Tasks[[#This Row],[_LeafTotalWork]]&gt;0),Tasks[[#This Row],[_Res4Work]]&gt;0),Tasks[[#This Row],[_Res4Work]]/(Tasks[[#This Row],[_FinishWorkday]]-Tasks[[#This Row],[_StartWorkday]]+1),0)</f>
        <v>0</v>
      </c>
      <c r="EE84" s="42" t="n">
        <f aca="false">Tasks[[#This Row],[_Res4WorkPerWD]]*MAX(0,Tasks[[#This Row],[_StartWorkday]]-1)</f>
        <v>0</v>
      </c>
      <c r="EF84" s="42" t="n">
        <f aca="false">Tasks[[#This Row],[_Res4Work]]*Tasks[[#This Row],[_LeafProgress]]</f>
        <v>0</v>
      </c>
      <c r="EG84" s="42" t="n">
        <f aca="false">IF(ISNUMBER(Tasks[[#This Row],[% Complete]]),Tasks[[#This Row],[% Complete]],IF(Tasks[[#This Row],[Stage]]="",0,IFERROR(INDEX(stg_Pct,MATCH(Tasks[[#This Row],[Stage]],stg_Name,0)),0)))</f>
        <v>0</v>
      </c>
      <c r="EH84" s="42" t="n">
        <f aca="false">IF(NOT(Tasks[[#This Row],[_IsLeaf]]=1),0,IF(N(Tasks[[#This Row],[Actual Finish]])&gt;0,1,MIN(1,Tasks[[#This Row],[_Pct]])))</f>
        <v>0</v>
      </c>
      <c r="EI84" s="42" t="n">
        <f aca="false">IF(OR(NOT(Tasks[[#This Row],[_IsLeaf]]=1),Tasks[[#This Row],[_Res1Row]]=0),0,N(Tasks[[#This Row],[_Days]])*HoursPerDay*IF(Tasks[[#This Row],[_Units1]]="",DefaultUnits,Tasks[[#This Row],[_Units1]]))</f>
        <v>0</v>
      </c>
      <c r="EJ84" s="42" t="n">
        <f aca="false">Tasks[[#This Row],[_LeafWork]]+Tasks[[#This Row],[_Res2Work]]+Tasks[[#This Row],[_Res3Work]]+Tasks[[#This Row],[_Res4Work]]</f>
        <v>0</v>
      </c>
      <c r="EK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4" s="42" t="n">
        <f aca="false">IF(NOT(Tasks[[#This Row],[_IsLeaf]]=1),0,MAX(_xlfn.MAXIFS(Tasks[_Row],Tasks[_Pred1UID],Tasks[[#This Row],[UID]]),_xlfn.MAXIFS(Tasks[_Row],Tasks[_Pred2UID],Tasks[[#This Row],[UID]]),_xlfn.MAXIFS(Tasks[_Row],Tasks[_Pred3UID],Tasks[[#This Row],[UID]]),_xlfn.MAXIFS(Tasks[_Row],Tasks[_Pred4UID],Tasks[[#This Row],[UID]])))</f>
        <v>0</v>
      </c>
      <c r="ET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4" s="89" t="str">
        <f aca="false">IF(NOT(Tasks[[#This Row],[_IsLeaf]]=1),"",IF(N(Tasks[[#This Row],[_Days]])&lt;=0,Tasks[[#This Row],[_LeafLateFinish]],WORKDAY.INTL(Tasks[[#This Row],[_LeafLateFinish]],-(Tasks[[#This Row],[_Days]]-1),WorkWeek,Holidays)))</f>
        <v/>
      </c>
      <c r="EW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4" s="88" t="b">
        <f aca="false">AND(Tasks[[#This Row],[_IsLeaf]]=1,Tasks[[#This Row],[_LeafProgress]]&lt;1,N(Tasks[[#This Row],[_LeafTotalSlack]])&lt;=CriticalSlackDays)</f>
        <v>0</v>
      </c>
      <c r="EY84" s="42" t="n">
        <f aca="false">IF(AND(Tasks[[#This Row],[_IsLeaf]]=1,Tasks[[#This Row],[_ConstraintCode]]=1,Tasks[[#This Row],[Mode]]&lt;&gt;"Manual",N(Tasks[[#This Row],[Actual Start]])=0),MAX(0,N(Tasks[[#This Row],[Free Slack]])),0)</f>
        <v>0</v>
      </c>
      <c r="EZ84" s="89" t="str">
        <f aca="false">IF(NOT(Tasks[[#This Row],[_IsLeaf]]=1),"",IF(Tasks[[#This Row],[_AlapShift]]=0,Tasks[[#This Row],[_LeafCalcStart]],WORKDAY.INTL(Tasks[[#This Row],[_LeafCalcStart]],Tasks[[#This Row],[_AlapShift]],WorkWeek,Holidays)))</f>
        <v/>
      </c>
      <c r="FA84" s="89" t="str">
        <f aca="false">IF(NOT(Tasks[[#This Row],[_IsLeaf]]=1),"",IF(Tasks[[#This Row],[_AlapShift]]=0,Tasks[[#This Row],[_LeafCalcFinish]],WORKDAY.INTL(Tasks[[#This Row],[_LeafCalcFinish]],Tasks[[#This Row],[_AlapShift]],WorkWeek,Holidays)))</f>
        <v/>
      </c>
      <c r="FB84" s="89" t="str">
        <f aca="false">IF(NOT(Tasks[[#This Row],[_IsLeaf]]=1),"",IF(Tasks[[#This Row],[_AlapShift]]=0,Tasks[[#This Row],[_LeafFcstStart]],WORKDAY.INTL(Tasks[[#This Row],[_LeafFcstStart]],Tasks[[#This Row],[_AlapShift]],WorkWeek,Holidays)))</f>
        <v/>
      </c>
      <c r="FC84" s="89" t="str">
        <f aca="false">IF(NOT(Tasks[[#This Row],[_IsLeaf]]=1),"",IF(Tasks[[#This Row],[_AlapShift]]=0,Tasks[[#This Row],[_LeafFcstFinish]],WORKDAY.INTL(Tasks[[#This Row],[_LeafFcstFinish]],Tasks[[#This Row],[_AlapShift]],WorkWeek,Holidays)))</f>
        <v/>
      </c>
      <c r="FD84" s="89" t="str">
        <f aca="false">IF(Tasks[[#This Row],[Task Name]]="","",IF(Tasks[[#This Row],[_IsSummary]],MIN(INDEX(Tasks[_ShownCalcStart],Tasks[[#This Row],[_Row]]+1):INDEX(Tasks[_ShownCalcStart],Tasks[[#This Row],[_Row]]+Tasks[[#This Row],[_Descendants]])),Tasks[[#This Row],[_ShownCalcStart]]))</f>
        <v/>
      </c>
      <c r="FE84" s="89" t="str">
        <f aca="false">IF(Tasks[[#This Row],[Task Name]]="","",IF(Tasks[[#This Row],[_IsSummary]],MAX(INDEX(Tasks[_ShownCalcFinish],Tasks[[#This Row],[_Row]]+1):INDEX(Tasks[_ShownCalcFinish],Tasks[[#This Row],[_Row]]+Tasks[[#This Row],[_Descendants]])),Tasks[[#This Row],[_ShownCalcFinish]]))</f>
        <v/>
      </c>
      <c r="FF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4" s="42" t="n">
        <f aca="false">IF(AND(Tasks[[#This Row],[_IsLeaf]]=1,Tasks[[#This Row],[_LeafTotalWork]]&gt;0),NETWORKDAYS.INTL(ProjectStart,Tasks[[#This Row],[_ShownFcstStart]],WorkWeek,Holidays),0)</f>
        <v>0</v>
      </c>
      <c r="FS84" s="42" t="n">
        <f aca="false">IF(AND(Tasks[[#This Row],[_IsLeaf]]=1,Tasks[[#This Row],[_LeafTotalWork]]&gt;0),MAX(Tasks[[#This Row],[_StartWorkday]],NETWORKDAYS.INTL(ProjectStart,Tasks[[#This Row],[_ShownFcstFinish]],WorkWeek,Holidays)),0)</f>
        <v>0</v>
      </c>
      <c r="FT84" s="42" t="n">
        <f aca="false">IF(AND(Tasks[[#This Row],[_IsLeaf]]=1,Tasks[[#This Row],[_LeafTotalWork]]&gt;0),Tasks[[#This Row],[_LeafWork]]/(Tasks[[#This Row],[_FinishWorkday]]-Tasks[[#This Row],[_StartWorkday]]+1),0)</f>
        <v>0</v>
      </c>
      <c r="FU84" s="42" t="n">
        <f aca="false">Tasks[[#This Row],[_WorkPerWorkday]]*(Tasks[[#This Row],[_StartWorkday]]-1)</f>
        <v>-0</v>
      </c>
      <c r="FV84" s="42" t="n">
        <f aca="false">IF(Tasks[[#This Row],[_IsLeaf]]=1,MAX(N(Tasks[[#This Row],[_Days]]),0.1),0)</f>
        <v>0</v>
      </c>
      <c r="FW84" s="42" t="n">
        <f aca="false">Tasks[[#This Row],[_WeightDur]]*Tasks[[#This Row],[_LeafProgress]]</f>
        <v>0</v>
      </c>
      <c r="FX84" s="42" t="n">
        <f aca="false">Tasks[[#This Row],[_WeightDur]]*Tasks[[#This Row],[_PlannedPct]]</f>
        <v>0</v>
      </c>
      <c r="FY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4" s="42" t="str">
        <f aca="false">IF(AND(Tasks[[#This Row],[_IsLeaf]]=1,N(Tasks[[#This Row],[_Days]])=0,Tasks[[#This Row],[_LeafProgress]]&lt;1),Tasks[[#This Row],[_ShownFcstFinish]]+Tasks[[#This Row],[_Row]]/100000,"")</f>
        <v/>
      </c>
      <c r="GA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4" s="42" t="str">
        <f aca="false">IF(Tasks[[#This Row],[Task Name]]="","",LEFT(Tasks[[#This Row],[WBS]],FIND(".",Tasks[[#This Row],[WBS]]&amp;".")-1))</f>
        <v/>
      </c>
      <c r="GC84" s="42" t="str">
        <f aca="false">IF(AND(Tasks[[#This Row],[Task Name]]&lt;&gt;"",Tasks[[#This Row],[_Level]]=1),Tasks[[#This Row],[_Row]],"")</f>
        <v/>
      </c>
      <c r="GD84" s="42" t="str">
        <f aca="false">IF(AND(Tasks[[#This Row],[_IsLeaf]]=1,N(Tasks[[#This Row],[_Days]])=0),Tasks[[#This Row],[Planned Finish]]+Tasks[[#This Row],[_Row]]/100000,"")</f>
        <v/>
      </c>
      <c r="GE84" s="42" t="str">
        <f aca="false">IF(AND(Tasks[[#This Row],[_IsLeaf]]=1,Tasks[[#This Row],[_LeafProgress]]&lt;1,OR(N(Tasks[[#This Row],[Finish Var]])&gt;0,Tasks[[#This Row],[Status]]="Late Start")),MAX(0,Tasks[[#This Row],[Finish Var]])+1-Tasks[[#This Row],[_Row]]/1000000,"")</f>
        <v/>
      </c>
      <c r="GF84" s="42" t="str">
        <f aca="false">IF(AND(Tasks[[#This Row],[_IsLeaf]]=1,N(Tasks[[#This Row],[Actual Start]])=0,Tasks[[#This Row],[_ShownFcstStart]]&gt;=StatusDate,Tasks[[#This Row],[_ShownFcstStart]]&lt;=LookaheadEnd),Tasks[[#This Row],[_ShownFcstStart]]+Tasks[[#This Row],[_Row]]/100000,"")</f>
        <v/>
      </c>
      <c r="GG84" s="42" t="str">
        <f aca="false">IF(AND(Tasks[[#This Row],[_IsLeaf]]=1,Tasks[[#This Row],[_LeafProgress]]&lt;1,Tasks[[#This Row],[_ShownFcstFinish]]&gt;=StatusDate,Tasks[[#This Row],[_ShownFcstFinish]]&lt;=LookaheadEnd),Tasks[[#This Row],[_ShownFcstFinish]]+Tasks[[#This Row],[_Row]]/100000,"")</f>
        <v/>
      </c>
      <c r="GH84" s="42" t="str">
        <f aca="false">IF(Tasks[[#This Row],[_LeafCritical]],Tasks[[#This Row],[_ShownFcstStart]]+Tasks[[#This Row],[_Row]]/100000,"")</f>
        <v/>
      </c>
      <c r="GI84" s="42" t="n">
        <f aca="false">Tasks[[#This Row],[_LeafWork]]*Tasks[[#This Row],[_LeafProgress]]</f>
        <v>0</v>
      </c>
      <c r="GJ84" s="89" t="str">
        <f aca="false">IF(AND(Tasks[[#This Row],[_IsLeaf]]=1,Tasks[[#This Row],[_LeafProgress]]&gt;=1),IF(N(Tasks[[#This Row],[Actual Finish]])&gt;0,Tasks[[#This Row],[Actual Finish]],Tasks[[#This Row],[_ShownFcstFinish]]),"")</f>
        <v/>
      </c>
      <c r="GK84" s="42" t="n">
        <f aca="false">IF(Tasks[[#This Row],[_IsLeaf]]=1,N(Tasks[[#This Row],[Story Points]]),0)</f>
        <v>0</v>
      </c>
      <c r="GL84" s="42" t="str">
        <f aca="false">""</f>
        <v/>
      </c>
      <c r="GM84" s="88" t="b">
        <f aca="false">IF(Tasks[[#This Row],[Task Name]]="",FALSE(),AND(Tasks[[#This Row],[_IsLeaf]]=1,N(Tasks[[#This Row],[_Days]])=0))</f>
        <v>0</v>
      </c>
      <c r="GN84" s="89" t="n">
        <f aca="false">IF(Tasks[[#This Row],[Task Name]]="",0,IF(AND(Tasks[[#This Row],[_IsLeaf]]=1,NOT(Tasks[[#This Row],[_IsMilestone]]),N(Tasks[[#This Row],[Progress]])&gt;0),Tasks[[#This Row],[Start]],0))</f>
        <v>0</v>
      </c>
      <c r="GO84" s="89" t="n">
        <f aca="false">IF(Tasks[[#This Row],[_DoneFrom]]=0,0,IF(Tasks[[#This Row],[Progress]]&gt;=1,Tasks[[#This Row],[Finish]],MAX(Tasks[[#This Row],[_DoneFrom]],Tasks[[#This Row],[Start]]+ROUND((Tasks[[#This Row],[Finish]]-Tasks[[#This Row],[Start]]+1)*Tasks[[#This Row],[Progress]],0)-1)))</f>
        <v>0</v>
      </c>
      <c r="GP84" s="89" t="n">
        <f aca="false">IF(Tasks[[#This Row],[Task Name]]="",0,IF(OR(NOT(Tasks[[#This Row],[_IsLeaf]]=1),Tasks[[#This Row],[_IsMilestone]],N(Tasks[[#This Row],[Progress]])&gt;=1),0,IF(Tasks[[#This Row],[_DoneTo]]&gt;0,Tasks[[#This Row],[_DoneTo]]+1,Tasks[[#This Row],[Start]])))</f>
        <v>0</v>
      </c>
      <c r="GQ84" s="89" t="n">
        <f aca="false">IF(Tasks[[#This Row],[_RemFrom]]=0,0,Tasks[[#This Row],[Finish]])</f>
        <v>0</v>
      </c>
      <c r="GR84" s="88" t="b">
        <f aca="false">IF(Tasks[[#This Row],[Task Name]]="",FALSE(),OR(NOT(BaselineSet),N(Tasks[[#This Row],[Baseline Start]])&gt;0))</f>
        <v>0</v>
      </c>
      <c r="GS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4" s="90" t="str">
        <f aca="false">IF(Tasks[[#This Row],[_IsLeaf]]=1,Tasks[[#This Row],[_Row]],"")</f>
        <v/>
      </c>
      <c r="GW84" s="90" t="str">
        <f aca="false">IFERROR(INDEX(Tasks[UID],SMALL(Tasks[_PickKey],Tasks[[#This Row],[_Row]]))&amp;" "&amp;INDEX(Tasks[Task Name],SMALL(Tasks[_PickKey],Tasks[[#This Row],[_Row]])),"")</f>
        <v/>
      </c>
      <c r="GX84" s="42" t="str">
        <f aca="false">IF(Tasks[[#This Row],[Task Name]]="","",IF(Tasks[[#This Row],[_IsSummary]],NETWORKDAYS.INTL(Tasks[[#This Row],[Start]],Tasks[[#This Row],[Finish]],WorkWeek,Holidays),N(Tasks[[#This Row],[_Days]])))</f>
        <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3"/>
      <c r="U85" s="23"/>
      <c r="V85" s="83"/>
      <c r="W85" s="23"/>
      <c r="X85" s="83"/>
      <c r="Y85" s="23"/>
      <c r="Z85" s="83"/>
      <c r="AA85" s="23"/>
      <c r="AB85" s="23"/>
      <c r="AC85" s="7"/>
      <c r="AD85" s="7"/>
      <c r="AE85" s="62" t="str">
        <f aca="false">IF(Tasks[[#This Row],[Task Name]]="","",IF(Tasks[[#This Row],[_IsSummary]],MIN(INDEX(Tasks[_ShownFcstStart],Tasks[[#This Row],[_Row]]+1):INDEX(Tasks[_ShownFcstStart],Tasks[[#This Row],[_Row]]+Tasks[[#This Row],[_Descendants]])),Tasks[[#This Row],[_ShownFcstStart]]))</f>
        <v/>
      </c>
      <c r="AF85" s="62"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5" s="7"/>
      <c r="AK85" s="22"/>
      <c r="AL85" s="23"/>
      <c r="AM85" s="7"/>
      <c r="AN85" s="46"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2" t="str">
        <f aca="false">IF(Tasks[[#This Row],[Task Name]]="","",IF(N(Tasks[[#This Row],[Baseline Start]])&gt;0,Tasks[[#This Row],[Baseline Start]],Tasks[[#This Row],[_CalcStart]]))</f>
        <v/>
      </c>
      <c r="AR85" s="62" t="str">
        <f aca="false">IF(Tasks[[#This Row],[Task Name]]="","",IF(N(Tasks[[#This Row],[Baseline Finish]])&gt;0,Tasks[[#This Row],[Baseline Finish]],Tasks[[#This Row],[_CalcFinish]]))</f>
        <v/>
      </c>
      <c r="AS85" s="46" t="str">
        <f aca="false">IF(Tasks[[#This Row],[Task Name]]="","",IF(Tasks[[#This Row],[Start]]&gt;=Tasks[[#This Row],[Planned Start]],NETWORKDAYS.INTL(Tasks[[#This Row],[Planned Start]],Tasks[[#This Row],[Start]],WorkWeek,Holidays)-1,1-NETWORKDAYS.INTL(Tasks[[#This Row],[Start]],Tasks[[#This Row],[Planned Start]],WorkWeek,Holidays)))</f>
        <v/>
      </c>
      <c r="AT85" s="62" t="str">
        <f aca="false">IF(Tasks[[#This Row],[Task Name]]="","",IF(Tasks[[#This Row],[_IsSummary]],MIN(INDEX(Tasks[_LeafLateStart],Tasks[[#This Row],[_Row]]+1):INDEX(Tasks[_LeafLateStart],Tasks[[#This Row],[_Row]]+Tasks[[#This Row],[_Descendants]])),Tasks[[#This Row],[_LeafLateStart]]))</f>
        <v/>
      </c>
      <c r="AU85" s="62" t="str">
        <f aca="false">IF(Tasks[[#This Row],[Task Name]]="","",IF(Tasks[[#This Row],[_IsSummary]],MAX(INDEX(Tasks[_LeafLateFinish],Tasks[[#This Row],[_Row]]+1):INDEX(Tasks[_LeafLateFinish],Tasks[[#This Row],[_Row]]+Tasks[[#This Row],[_Descendants]])),Tasks[[#This Row],[_LeafLateFinish]]))</f>
        <v/>
      </c>
      <c r="AV85" s="46"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4"/>
      <c r="BA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5"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6"/>
      <c r="BJ85" s="22"/>
      <c r="BK85" s="46" t="str">
        <f aca="false">IF(OR(Tasks[[#This Row],[Task Name]]="",Tasks[[#This Row],[Baseline Duration]]=""),"",Tasks[[#This Row],[_SpanDays]]-N(Tasks[[#This Row],[Baseline Duration]]))</f>
        <v/>
      </c>
      <c r="BL85" s="85" t="str">
        <f aca="false">IF(OR(Tasks[[#This Row],[Task Name]]="",Tasks[[#This Row],[Baseline Work]]=""),"",Tasks[[#This Row],[Work]]-N(Tasks[[#This Row],[Baseline Work]]))</f>
        <v/>
      </c>
      <c r="BM85" s="62" t="str">
        <f aca="false">IF(Tasks[[#This Row],[Task Name]]="","",IF(OR(TakeBaseline="Yes",N(Tasks[[#This Row],[Baseline Start]])=0),Tasks[[#This Row],[Start]],Tasks[[#This Row],[Baseline Start]]))</f>
        <v/>
      </c>
      <c r="BN85" s="62"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5" t="str">
        <f aca="false">IF(Tasks[[#This Row],[Task Name]]="","",IF(OR(TakeBaseline="Yes",N(Tasks[[#This Row],[Baseline Work]])=0),Tasks[[#This Row],[Work]],Tasks[[#This Row],[Baseline Work]]))</f>
        <v/>
      </c>
      <c r="BQ85" s="7"/>
      <c r="BR85" s="7"/>
      <c r="BS85" s="22"/>
      <c r="BT85" s="87"/>
      <c r="BU85" s="42" t="str">
        <f aca="false">IF(Tasks[[#This Row],[Task Name]]="","",MAX(1,N(Tasks[[#This Row],[Level]])))</f>
        <v/>
      </c>
      <c r="BV85" s="42" t="n">
        <f aca="false">ROW()-ROW(Tasks[[#Headers],[ID]])</f>
        <v>80</v>
      </c>
      <c r="BW85" s="42" t="n">
        <f aca="false">IF(OR(Tasks[[#This Row],[Task Name]]="",Tasks[[#This Row],[_Level]]&lt;=1),0,IFERROR(LOOKUP(2,1/(Tasks[[#Headers],[_Level]]:Tasks[[#This Row],[_Level]]=Tasks[[#This Row],[_Level]]-1),ROW(Tasks[[#Headers],[_Level]]:Tasks[[#This Row],[_Level]])),0))</f>
        <v>0</v>
      </c>
      <c r="BX85" s="42" t="n">
        <f aca="false">IFERROR(N(INDEX(Tasks[_Level],Tasks[[#This Row],[_Row]]+1)),0)</f>
        <v>0</v>
      </c>
      <c r="BY85" s="88" t="b">
        <f aca="false">AND(Tasks[[#This Row],[Task Name]]&lt;&gt;"",Tasks[[#This Row],[_NextLevel]]&gt;Tasks[[#This Row],[_Level]])</f>
        <v>0</v>
      </c>
      <c r="BZ85" s="42" t="n">
        <f aca="false">IF(Tasks[[#This Row],[_IsSummary]],COUNTIF(Tasks[WBS],Tasks[[#This Row],[WBS]]&amp;".*"),0)</f>
        <v>0</v>
      </c>
      <c r="CA85" s="42" t="n">
        <f aca="false">IF(AND(Tasks[[#This Row],[Task Name]]&lt;&gt;"",NOT(Tasks[[#This Row],[_IsSummary]])),1,0)</f>
        <v>0</v>
      </c>
      <c r="CB85" s="42" t="n">
        <f aca="false">IF(N(Tasks[[#This Row],[_Pred1UID]])=0,0,IFERROR(MATCH(Tasks[[#This Row],[_Pred1UID]],Tasks[UID],0),-1))</f>
        <v>0</v>
      </c>
      <c r="CC85" s="42" t="n">
        <f aca="false">IF(N(Tasks[[#This Row],[_Pred2UID]])=0,0,IFERROR(MATCH(Tasks[[#This Row],[_Pred2UID]],Tasks[UID],0),-1))</f>
        <v>0</v>
      </c>
      <c r="CD85" s="42" t="n">
        <f aca="false">IF(N(Tasks[[#This Row],[_Pred3UID]])=0,0,IFERROR(MATCH(Tasks[[#This Row],[_Pred3UID]],Tasks[UID],0),-1))</f>
        <v>0</v>
      </c>
      <c r="CE85" s="42" t="n">
        <f aca="false">IF(N(Tasks[[#This Row],[_Pred4UID]])=0,0,IFERROR(MATCH(Tasks[[#This Row],[_Pred4UID]],Tasks[UID],0),-1))</f>
        <v>0</v>
      </c>
      <c r="CF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5" s="89" t="n">
        <f aca="false">IF(OR(Tasks[[#This Row],[_ConstraintCode]]=2,Tasks[[#This Row],[_ConstraintCode]]=3,Tasks[[#This Row],[_ConstraintCode]]=4,Tasks[[#This Row],[_ConstraintCode]]=6),Tasks[[#This Row],[_ConstraintStart]],0)</f>
        <v>0</v>
      </c>
      <c r="CI85" s="89" t="n">
        <f aca="false">IF(OR(Tasks[[#This Row],[_ConstraintCode]]=2,Tasks[[#This Row],[_ConstraintCode]]=3,Tasks[[#This Row],[_ConstraintCode]]=5,Tasks[[#This Row],[_ConstraintCode]]=7),Tasks[[#This Row],[_ConstraintStart]],2958465)</f>
        <v>2958465</v>
      </c>
      <c r="CJ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5" s="89" t="str">
        <f aca="false">IF(NOT(Tasks[[#This Row],[_IsLeaf]]=1),"",IF(N(Tasks[[#This Row],[_Days]])&lt;=0,Tasks[[#This Row],[_LeafCalcStart]],WORKDAY.INTL(Tasks[[#This Row],[_LeafCalcStart]],Tasks[[#This Row],[_Days]]-1,WorkWeek,Holidays)))</f>
        <v/>
      </c>
      <c r="CL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5" s="42" t="str">
        <f aca="false">IF(Tasks[[#This Row],[_Predecessors]]="","",TRIM(MID(SUBSTITUTE(SUBSTITUTE(SUBSTITUTE(UPPER(Tasks[[#This Row],[_Predecessors]]),";",",")," ",""),",",REPT(" ",99)),1,99)))</f>
        <v/>
      </c>
      <c r="CO85" s="42" t="str">
        <f aca="false">IF(Tasks[[#This Row],[_Pred1Text]]="","",IFERROR(VALUE(LEFT(Tasks[[#This Row],[_Pred1Text]],MIN(FIND("F",Tasks[[#This Row],[_Pred1Text]]&amp;"F"),FIND("S",Tasks[[#This Row],[_Pred1Text]]&amp;"S"),FIND("+",Tasks[[#This Row],[_Pred1Text]]&amp;"+"),FIND("-",Tasks[[#This Row],[_Pred1Text]]&amp;"-"))-1)),""))</f>
        <v/>
      </c>
      <c r="CP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5" s="42" t="str">
        <f aca="false">IF(Tasks[[#This Row],[_Pred1Text]]="","",TRIM(MID(SUBSTITUTE(SUBSTITUTE(SUBSTITUTE(UPPER(Tasks[[#This Row],[_Predecessors]]),";",",")," ",""),",",REPT(" ",99)),100,99)))</f>
        <v/>
      </c>
      <c r="CS85" s="42" t="str">
        <f aca="false">IF(Tasks[[#This Row],[_Pred2Text]]="","",IFERROR(VALUE(LEFT(Tasks[[#This Row],[_Pred2Text]],MIN(FIND("F",Tasks[[#This Row],[_Pred2Text]]&amp;"F"),FIND("S",Tasks[[#This Row],[_Pred2Text]]&amp;"S"),FIND("+",Tasks[[#This Row],[_Pred2Text]]&amp;"+"),FIND("-",Tasks[[#This Row],[_Pred2Text]]&amp;"-"))-1)),""))</f>
        <v/>
      </c>
      <c r="CT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5" s="42" t="str">
        <f aca="false">IF(Tasks[[#This Row],[_Pred2Text]]="","",TRIM(MID(SUBSTITUTE(SUBSTITUTE(SUBSTITUTE(UPPER(Tasks[[#This Row],[_Predecessors]]),";",",")," ",""),",",REPT(" ",99)),199,99)))</f>
        <v/>
      </c>
      <c r="CW85" s="42" t="str">
        <f aca="false">IF(Tasks[[#This Row],[_Pred3Text]]="","",IFERROR(VALUE(LEFT(Tasks[[#This Row],[_Pred3Text]],MIN(FIND("F",Tasks[[#This Row],[_Pred3Text]]&amp;"F"),FIND("S",Tasks[[#This Row],[_Pred3Text]]&amp;"S"),FIND("+",Tasks[[#This Row],[_Pred3Text]]&amp;"+"),FIND("-",Tasks[[#This Row],[_Pred3Text]]&amp;"-"))-1)),""))</f>
        <v/>
      </c>
      <c r="CX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5" s="42" t="str">
        <f aca="false">IF(Tasks[[#This Row],[_Pred3Text]]="","",TRIM(MID(SUBSTITUTE(SUBSTITUTE(SUBSTITUTE(UPPER(Tasks[[#This Row],[_Predecessors]]),";",",")," ",""),",",REPT(" ",99)),298,99)))</f>
        <v/>
      </c>
      <c r="DA85" s="42" t="str">
        <f aca="false">IF(Tasks[[#This Row],[_Pred4Text]]="","",IFERROR(VALUE(LEFT(Tasks[[#This Row],[_Pred4Text]],MIN(FIND("F",Tasks[[#This Row],[_Pred4Text]]&amp;"F"),FIND("S",Tasks[[#This Row],[_Pred4Text]]&amp;"S"),FIND("+",Tasks[[#This Row],[_Pred4Text]]&amp;"+"),FIND("-",Tasks[[#This Row],[_Pred4Text]]&amp;"-"))-1)),""))</f>
        <v/>
      </c>
      <c r="DB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5" s="42" t="str">
        <f aca="false">IF(OR(Tasks[[#This Row],[Task Name]]="",Tasks[[#This Row],[_Resources]]=""),"",TRIM(MID(SUBSTITUTE(Tasks[[#This Row],[_Resources]],",",REPT(" ",99)),1,99)))</f>
        <v/>
      </c>
      <c r="DE85" s="42" t="str">
        <f aca="false">IF(Tasks[[#This Row],[_Res1Text]]="","",TRIM(MID(SUBSTITUTE(Tasks[[#This Row],[_Resources]],",",REPT(" ",99)),100,99)))</f>
        <v/>
      </c>
      <c r="DF85" s="42" t="str">
        <f aca="false">IF(Tasks[[#This Row],[_Res2Text]]="","",TRIM(MID(SUBSTITUTE(Tasks[[#This Row],[_Resources]],",",REPT(" ",99)),199,99)))</f>
        <v/>
      </c>
      <c r="DG85" s="42" t="str">
        <f aca="false">IF(Tasks[[#This Row],[_Res3Text]]="","",TRIM(MID(SUBSTITUTE(Tasks[[#This Row],[_Resources]],",",REPT(" ",99)),298,99)))</f>
        <v/>
      </c>
      <c r="DH85" s="42" t="n">
        <f aca="false">IF(Tasks[[#This Row],[_Res1Text]]="",0,IFERROR(MATCH(TRIM(LEFT(Tasks[[#This Row],[_Res1Text]],FIND("[",Tasks[[#This Row],[_Res1Text]]&amp;"[")-1)),res_Name,0),IFERROR(MATCH(TRIM(LEFT(Tasks[[#This Row],[_Res1Text]],FIND("[",Tasks[[#This Row],[_Res1Text]]&amp;"[")-1)),res_Initials,0),0)))</f>
        <v>0</v>
      </c>
      <c r="DI85" s="42" t="n">
        <f aca="false">IF(Tasks[[#This Row],[_Res2Text]]="",0,IFERROR(MATCH(TRIM(LEFT(Tasks[[#This Row],[_Res2Text]],FIND("[",Tasks[[#This Row],[_Res2Text]]&amp;"[")-1)),res_Name,0),IFERROR(MATCH(TRIM(LEFT(Tasks[[#This Row],[_Res2Text]],FIND("[",Tasks[[#This Row],[_Res2Text]]&amp;"[")-1)),res_Initials,0),0)))</f>
        <v>0</v>
      </c>
      <c r="DJ85" s="42" t="n">
        <f aca="false">IF(Tasks[[#This Row],[_Res3Text]]="",0,IFERROR(MATCH(TRIM(LEFT(Tasks[[#This Row],[_Res3Text]],FIND("[",Tasks[[#This Row],[_Res3Text]]&amp;"[")-1)),res_Name,0),IFERROR(MATCH(TRIM(LEFT(Tasks[[#This Row],[_Res3Text]],FIND("[",Tasks[[#This Row],[_Res3Text]]&amp;"[")-1)),res_Initials,0),0)))</f>
        <v>0</v>
      </c>
      <c r="DK85" s="42" t="n">
        <f aca="false">IF(Tasks[[#This Row],[_Res4Text]]="",0,IFERROR(MATCH(TRIM(LEFT(Tasks[[#This Row],[_Res4Text]],FIND("[",Tasks[[#This Row],[_Res4Text]]&amp;"[")-1)),res_Name,0),IFERROR(MATCH(TRIM(LEFT(Tasks[[#This Row],[_Res4Text]],FIND("[",Tasks[[#This Row],[_Res4Text]]&amp;"[")-1)),res_Initials,0),0)))</f>
        <v>0</v>
      </c>
      <c r="DL85" s="42" t="str">
        <f aca="false">IF(Tasks[[#This Row],[_Res1Text]]="","",IF(Tasks[[#This Row],[_Res1Row]]&gt;0,INDEX(res_Name,Tasks[[#This Row],[_Res1Row]]),TRIM(LEFT(Tasks[[#This Row],[_Res1Text]],FIND("[",Tasks[[#This Row],[_Res1Text]]&amp;"[")-1))))</f>
        <v/>
      </c>
      <c r="DM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5" s="42" t="n">
        <f aca="false">IF(NOT(Tasks[[#This Row],[_IsLeaf]]=1),0,(Tasks[[#This Row],[_Resource1]]&lt;&gt;"")+(Tasks[[#This Row],[_Res2]]&lt;&gt;"")+(Tasks[[#This Row],[_Res3]]&lt;&gt;"")+(Tasks[[#This Row],[_Res4]]&lt;&gt;""))</f>
        <v>0</v>
      </c>
      <c r="DO85" s="42" t="str">
        <f aca="false">IF(Tasks[[#This Row],[_Res2Text]]="","",IF(Tasks[[#This Row],[_Res2Row]]&gt;0,INDEX(res_Name,Tasks[[#This Row],[_Res2Row]]),TRIM(LEFT(Tasks[[#This Row],[_Res2Text]],FIND("[",Tasks[[#This Row],[_Res2Text]]&amp;"[")-1))))</f>
        <v/>
      </c>
      <c r="DP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5" s="42" t="n">
        <f aca="false">IF(OR(NOT(Tasks[[#This Row],[_IsLeaf]]=1),Tasks[[#This Row],[_Res2Row]]=0),0,N(Tasks[[#This Row],[_Days]])*HoursPerDay*IF(Tasks[[#This Row],[_Res2Units]]="",DefaultUnits,Tasks[[#This Row],[_Res2Units]]))</f>
        <v>0</v>
      </c>
      <c r="DR85" s="42" t="n">
        <f aca="false">IF(AND(AND(Tasks[[#This Row],[_IsLeaf]]=1,Tasks[[#This Row],[_LeafTotalWork]]&gt;0),Tasks[[#This Row],[_Res2Work]]&gt;0),Tasks[[#This Row],[_Res2Work]]/(Tasks[[#This Row],[_FinishWorkday]]-Tasks[[#This Row],[_StartWorkday]]+1),0)</f>
        <v>0</v>
      </c>
      <c r="DS85" s="42" t="n">
        <f aca="false">Tasks[[#This Row],[_Res2WorkPerWD]]*MAX(0,Tasks[[#This Row],[_StartWorkday]]-1)</f>
        <v>0</v>
      </c>
      <c r="DT85" s="42" t="n">
        <f aca="false">Tasks[[#This Row],[_Res2Work]]*Tasks[[#This Row],[_LeafProgress]]</f>
        <v>0</v>
      </c>
      <c r="DU85" s="42" t="str">
        <f aca="false">IF(Tasks[[#This Row],[_Res3Text]]="","",IF(Tasks[[#This Row],[_Res3Row]]&gt;0,INDEX(res_Name,Tasks[[#This Row],[_Res3Row]]),TRIM(LEFT(Tasks[[#This Row],[_Res3Text]],FIND("[",Tasks[[#This Row],[_Res3Text]]&amp;"[")-1))))</f>
        <v/>
      </c>
      <c r="DV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5" s="42" t="n">
        <f aca="false">IF(OR(NOT(Tasks[[#This Row],[_IsLeaf]]=1),Tasks[[#This Row],[_Res3Row]]=0),0,N(Tasks[[#This Row],[_Days]])*HoursPerDay*IF(Tasks[[#This Row],[_Res3Units]]="",DefaultUnits,Tasks[[#This Row],[_Res3Units]]))</f>
        <v>0</v>
      </c>
      <c r="DX85" s="42" t="n">
        <f aca="false">IF(AND(AND(Tasks[[#This Row],[_IsLeaf]]=1,Tasks[[#This Row],[_LeafTotalWork]]&gt;0),Tasks[[#This Row],[_Res3Work]]&gt;0),Tasks[[#This Row],[_Res3Work]]/(Tasks[[#This Row],[_FinishWorkday]]-Tasks[[#This Row],[_StartWorkday]]+1),0)</f>
        <v>0</v>
      </c>
      <c r="DY85" s="42" t="n">
        <f aca="false">Tasks[[#This Row],[_Res3WorkPerWD]]*MAX(0,Tasks[[#This Row],[_StartWorkday]]-1)</f>
        <v>0</v>
      </c>
      <c r="DZ85" s="42" t="n">
        <f aca="false">Tasks[[#This Row],[_Res3Work]]*Tasks[[#This Row],[_LeafProgress]]</f>
        <v>0</v>
      </c>
      <c r="EA85" s="42" t="str">
        <f aca="false">IF(Tasks[[#This Row],[_Res4Text]]="","",IF(Tasks[[#This Row],[_Res4Row]]&gt;0,INDEX(res_Name,Tasks[[#This Row],[_Res4Row]]),TRIM(LEFT(Tasks[[#This Row],[_Res4Text]],FIND("[",Tasks[[#This Row],[_Res4Text]]&amp;"[")-1))))</f>
        <v/>
      </c>
      <c r="EB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5" s="42" t="n">
        <f aca="false">IF(OR(NOT(Tasks[[#This Row],[_IsLeaf]]=1),Tasks[[#This Row],[_Res4Row]]=0),0,N(Tasks[[#This Row],[_Days]])*HoursPerDay*IF(Tasks[[#This Row],[_Res4Units]]="",DefaultUnits,Tasks[[#This Row],[_Res4Units]]))</f>
        <v>0</v>
      </c>
      <c r="ED85" s="42" t="n">
        <f aca="false">IF(AND(AND(Tasks[[#This Row],[_IsLeaf]]=1,Tasks[[#This Row],[_LeafTotalWork]]&gt;0),Tasks[[#This Row],[_Res4Work]]&gt;0),Tasks[[#This Row],[_Res4Work]]/(Tasks[[#This Row],[_FinishWorkday]]-Tasks[[#This Row],[_StartWorkday]]+1),0)</f>
        <v>0</v>
      </c>
      <c r="EE85" s="42" t="n">
        <f aca="false">Tasks[[#This Row],[_Res4WorkPerWD]]*MAX(0,Tasks[[#This Row],[_StartWorkday]]-1)</f>
        <v>0</v>
      </c>
      <c r="EF85" s="42" t="n">
        <f aca="false">Tasks[[#This Row],[_Res4Work]]*Tasks[[#This Row],[_LeafProgress]]</f>
        <v>0</v>
      </c>
      <c r="EG85" s="42" t="n">
        <f aca="false">IF(ISNUMBER(Tasks[[#This Row],[% Complete]]),Tasks[[#This Row],[% Complete]],IF(Tasks[[#This Row],[Stage]]="",0,IFERROR(INDEX(stg_Pct,MATCH(Tasks[[#This Row],[Stage]],stg_Name,0)),0)))</f>
        <v>0</v>
      </c>
      <c r="EH85" s="42" t="n">
        <f aca="false">IF(NOT(Tasks[[#This Row],[_IsLeaf]]=1),0,IF(N(Tasks[[#This Row],[Actual Finish]])&gt;0,1,MIN(1,Tasks[[#This Row],[_Pct]])))</f>
        <v>0</v>
      </c>
      <c r="EI85" s="42" t="n">
        <f aca="false">IF(OR(NOT(Tasks[[#This Row],[_IsLeaf]]=1),Tasks[[#This Row],[_Res1Row]]=0),0,N(Tasks[[#This Row],[_Days]])*HoursPerDay*IF(Tasks[[#This Row],[_Units1]]="",DefaultUnits,Tasks[[#This Row],[_Units1]]))</f>
        <v>0</v>
      </c>
      <c r="EJ85" s="42" t="n">
        <f aca="false">Tasks[[#This Row],[_LeafWork]]+Tasks[[#This Row],[_Res2Work]]+Tasks[[#This Row],[_Res3Work]]+Tasks[[#This Row],[_Res4Work]]</f>
        <v>0</v>
      </c>
      <c r="EK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5" s="42" t="n">
        <f aca="false">IF(NOT(Tasks[[#This Row],[_IsLeaf]]=1),0,MAX(_xlfn.MAXIFS(Tasks[_Row],Tasks[_Pred1UID],Tasks[[#This Row],[UID]]),_xlfn.MAXIFS(Tasks[_Row],Tasks[_Pred2UID],Tasks[[#This Row],[UID]]),_xlfn.MAXIFS(Tasks[_Row],Tasks[_Pred3UID],Tasks[[#This Row],[UID]]),_xlfn.MAXIFS(Tasks[_Row],Tasks[_Pred4UID],Tasks[[#This Row],[UID]])))</f>
        <v>0</v>
      </c>
      <c r="ET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5" s="89" t="str">
        <f aca="false">IF(NOT(Tasks[[#This Row],[_IsLeaf]]=1),"",IF(N(Tasks[[#This Row],[_Days]])&lt;=0,Tasks[[#This Row],[_LeafLateFinish]],WORKDAY.INTL(Tasks[[#This Row],[_LeafLateFinish]],-(Tasks[[#This Row],[_Days]]-1),WorkWeek,Holidays)))</f>
        <v/>
      </c>
      <c r="EW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5" s="88" t="b">
        <f aca="false">AND(Tasks[[#This Row],[_IsLeaf]]=1,Tasks[[#This Row],[_LeafProgress]]&lt;1,N(Tasks[[#This Row],[_LeafTotalSlack]])&lt;=CriticalSlackDays)</f>
        <v>0</v>
      </c>
      <c r="EY85" s="42" t="n">
        <f aca="false">IF(AND(Tasks[[#This Row],[_IsLeaf]]=1,Tasks[[#This Row],[_ConstraintCode]]=1,Tasks[[#This Row],[Mode]]&lt;&gt;"Manual",N(Tasks[[#This Row],[Actual Start]])=0),MAX(0,N(Tasks[[#This Row],[Free Slack]])),0)</f>
        <v>0</v>
      </c>
      <c r="EZ85" s="89" t="str">
        <f aca="false">IF(NOT(Tasks[[#This Row],[_IsLeaf]]=1),"",IF(Tasks[[#This Row],[_AlapShift]]=0,Tasks[[#This Row],[_LeafCalcStart]],WORKDAY.INTL(Tasks[[#This Row],[_LeafCalcStart]],Tasks[[#This Row],[_AlapShift]],WorkWeek,Holidays)))</f>
        <v/>
      </c>
      <c r="FA85" s="89" t="str">
        <f aca="false">IF(NOT(Tasks[[#This Row],[_IsLeaf]]=1),"",IF(Tasks[[#This Row],[_AlapShift]]=0,Tasks[[#This Row],[_LeafCalcFinish]],WORKDAY.INTL(Tasks[[#This Row],[_LeafCalcFinish]],Tasks[[#This Row],[_AlapShift]],WorkWeek,Holidays)))</f>
        <v/>
      </c>
      <c r="FB85" s="89" t="str">
        <f aca="false">IF(NOT(Tasks[[#This Row],[_IsLeaf]]=1),"",IF(Tasks[[#This Row],[_AlapShift]]=0,Tasks[[#This Row],[_LeafFcstStart]],WORKDAY.INTL(Tasks[[#This Row],[_LeafFcstStart]],Tasks[[#This Row],[_AlapShift]],WorkWeek,Holidays)))</f>
        <v/>
      </c>
      <c r="FC85" s="89" t="str">
        <f aca="false">IF(NOT(Tasks[[#This Row],[_IsLeaf]]=1),"",IF(Tasks[[#This Row],[_AlapShift]]=0,Tasks[[#This Row],[_LeafFcstFinish]],WORKDAY.INTL(Tasks[[#This Row],[_LeafFcstFinish]],Tasks[[#This Row],[_AlapShift]],WorkWeek,Holidays)))</f>
        <v/>
      </c>
      <c r="FD85" s="89" t="str">
        <f aca="false">IF(Tasks[[#This Row],[Task Name]]="","",IF(Tasks[[#This Row],[_IsSummary]],MIN(INDEX(Tasks[_ShownCalcStart],Tasks[[#This Row],[_Row]]+1):INDEX(Tasks[_ShownCalcStart],Tasks[[#This Row],[_Row]]+Tasks[[#This Row],[_Descendants]])),Tasks[[#This Row],[_ShownCalcStart]]))</f>
        <v/>
      </c>
      <c r="FE85" s="89" t="str">
        <f aca="false">IF(Tasks[[#This Row],[Task Name]]="","",IF(Tasks[[#This Row],[_IsSummary]],MAX(INDEX(Tasks[_ShownCalcFinish],Tasks[[#This Row],[_Row]]+1):INDEX(Tasks[_ShownCalcFinish],Tasks[[#This Row],[_Row]]+Tasks[[#This Row],[_Descendants]])),Tasks[[#This Row],[_ShownCalcFinish]]))</f>
        <v/>
      </c>
      <c r="FF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5" s="42" t="n">
        <f aca="false">IF(AND(Tasks[[#This Row],[_IsLeaf]]=1,Tasks[[#This Row],[_LeafTotalWork]]&gt;0),NETWORKDAYS.INTL(ProjectStart,Tasks[[#This Row],[_ShownFcstStart]],WorkWeek,Holidays),0)</f>
        <v>0</v>
      </c>
      <c r="FS85" s="42" t="n">
        <f aca="false">IF(AND(Tasks[[#This Row],[_IsLeaf]]=1,Tasks[[#This Row],[_LeafTotalWork]]&gt;0),MAX(Tasks[[#This Row],[_StartWorkday]],NETWORKDAYS.INTL(ProjectStart,Tasks[[#This Row],[_ShownFcstFinish]],WorkWeek,Holidays)),0)</f>
        <v>0</v>
      </c>
      <c r="FT85" s="42" t="n">
        <f aca="false">IF(AND(Tasks[[#This Row],[_IsLeaf]]=1,Tasks[[#This Row],[_LeafTotalWork]]&gt;0),Tasks[[#This Row],[_LeafWork]]/(Tasks[[#This Row],[_FinishWorkday]]-Tasks[[#This Row],[_StartWorkday]]+1),0)</f>
        <v>0</v>
      </c>
      <c r="FU85" s="42" t="n">
        <f aca="false">Tasks[[#This Row],[_WorkPerWorkday]]*(Tasks[[#This Row],[_StartWorkday]]-1)</f>
        <v>-0</v>
      </c>
      <c r="FV85" s="42" t="n">
        <f aca="false">IF(Tasks[[#This Row],[_IsLeaf]]=1,MAX(N(Tasks[[#This Row],[_Days]]),0.1),0)</f>
        <v>0</v>
      </c>
      <c r="FW85" s="42" t="n">
        <f aca="false">Tasks[[#This Row],[_WeightDur]]*Tasks[[#This Row],[_LeafProgress]]</f>
        <v>0</v>
      </c>
      <c r="FX85" s="42" t="n">
        <f aca="false">Tasks[[#This Row],[_WeightDur]]*Tasks[[#This Row],[_PlannedPct]]</f>
        <v>0</v>
      </c>
      <c r="FY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5" s="42" t="str">
        <f aca="false">IF(AND(Tasks[[#This Row],[_IsLeaf]]=1,N(Tasks[[#This Row],[_Days]])=0,Tasks[[#This Row],[_LeafProgress]]&lt;1),Tasks[[#This Row],[_ShownFcstFinish]]+Tasks[[#This Row],[_Row]]/100000,"")</f>
        <v/>
      </c>
      <c r="GA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5" s="42" t="str">
        <f aca="false">IF(Tasks[[#This Row],[Task Name]]="","",LEFT(Tasks[[#This Row],[WBS]],FIND(".",Tasks[[#This Row],[WBS]]&amp;".")-1))</f>
        <v/>
      </c>
      <c r="GC85" s="42" t="str">
        <f aca="false">IF(AND(Tasks[[#This Row],[Task Name]]&lt;&gt;"",Tasks[[#This Row],[_Level]]=1),Tasks[[#This Row],[_Row]],"")</f>
        <v/>
      </c>
      <c r="GD85" s="42" t="str">
        <f aca="false">IF(AND(Tasks[[#This Row],[_IsLeaf]]=1,N(Tasks[[#This Row],[_Days]])=0),Tasks[[#This Row],[Planned Finish]]+Tasks[[#This Row],[_Row]]/100000,"")</f>
        <v/>
      </c>
      <c r="GE85" s="42" t="str">
        <f aca="false">IF(AND(Tasks[[#This Row],[_IsLeaf]]=1,Tasks[[#This Row],[_LeafProgress]]&lt;1,OR(N(Tasks[[#This Row],[Finish Var]])&gt;0,Tasks[[#This Row],[Status]]="Late Start")),MAX(0,Tasks[[#This Row],[Finish Var]])+1-Tasks[[#This Row],[_Row]]/1000000,"")</f>
        <v/>
      </c>
      <c r="GF85" s="42" t="str">
        <f aca="false">IF(AND(Tasks[[#This Row],[_IsLeaf]]=1,N(Tasks[[#This Row],[Actual Start]])=0,Tasks[[#This Row],[_ShownFcstStart]]&gt;=StatusDate,Tasks[[#This Row],[_ShownFcstStart]]&lt;=LookaheadEnd),Tasks[[#This Row],[_ShownFcstStart]]+Tasks[[#This Row],[_Row]]/100000,"")</f>
        <v/>
      </c>
      <c r="GG85" s="42" t="str">
        <f aca="false">IF(AND(Tasks[[#This Row],[_IsLeaf]]=1,Tasks[[#This Row],[_LeafProgress]]&lt;1,Tasks[[#This Row],[_ShownFcstFinish]]&gt;=StatusDate,Tasks[[#This Row],[_ShownFcstFinish]]&lt;=LookaheadEnd),Tasks[[#This Row],[_ShownFcstFinish]]+Tasks[[#This Row],[_Row]]/100000,"")</f>
        <v/>
      </c>
      <c r="GH85" s="42" t="str">
        <f aca="false">IF(Tasks[[#This Row],[_LeafCritical]],Tasks[[#This Row],[_ShownFcstStart]]+Tasks[[#This Row],[_Row]]/100000,"")</f>
        <v/>
      </c>
      <c r="GI85" s="42" t="n">
        <f aca="false">Tasks[[#This Row],[_LeafWork]]*Tasks[[#This Row],[_LeafProgress]]</f>
        <v>0</v>
      </c>
      <c r="GJ85" s="89" t="str">
        <f aca="false">IF(AND(Tasks[[#This Row],[_IsLeaf]]=1,Tasks[[#This Row],[_LeafProgress]]&gt;=1),IF(N(Tasks[[#This Row],[Actual Finish]])&gt;0,Tasks[[#This Row],[Actual Finish]],Tasks[[#This Row],[_ShownFcstFinish]]),"")</f>
        <v/>
      </c>
      <c r="GK85" s="42" t="n">
        <f aca="false">IF(Tasks[[#This Row],[_IsLeaf]]=1,N(Tasks[[#This Row],[Story Points]]),0)</f>
        <v>0</v>
      </c>
      <c r="GL85" s="42" t="str">
        <f aca="false">""</f>
        <v/>
      </c>
      <c r="GM85" s="88" t="b">
        <f aca="false">IF(Tasks[[#This Row],[Task Name]]="",FALSE(),AND(Tasks[[#This Row],[_IsLeaf]]=1,N(Tasks[[#This Row],[_Days]])=0))</f>
        <v>0</v>
      </c>
      <c r="GN85" s="89" t="n">
        <f aca="false">IF(Tasks[[#This Row],[Task Name]]="",0,IF(AND(Tasks[[#This Row],[_IsLeaf]]=1,NOT(Tasks[[#This Row],[_IsMilestone]]),N(Tasks[[#This Row],[Progress]])&gt;0),Tasks[[#This Row],[Start]],0))</f>
        <v>0</v>
      </c>
      <c r="GO85" s="89" t="n">
        <f aca="false">IF(Tasks[[#This Row],[_DoneFrom]]=0,0,IF(Tasks[[#This Row],[Progress]]&gt;=1,Tasks[[#This Row],[Finish]],MAX(Tasks[[#This Row],[_DoneFrom]],Tasks[[#This Row],[Start]]+ROUND((Tasks[[#This Row],[Finish]]-Tasks[[#This Row],[Start]]+1)*Tasks[[#This Row],[Progress]],0)-1)))</f>
        <v>0</v>
      </c>
      <c r="GP85" s="89" t="n">
        <f aca="false">IF(Tasks[[#This Row],[Task Name]]="",0,IF(OR(NOT(Tasks[[#This Row],[_IsLeaf]]=1),Tasks[[#This Row],[_IsMilestone]],N(Tasks[[#This Row],[Progress]])&gt;=1),0,IF(Tasks[[#This Row],[_DoneTo]]&gt;0,Tasks[[#This Row],[_DoneTo]]+1,Tasks[[#This Row],[Start]])))</f>
        <v>0</v>
      </c>
      <c r="GQ85" s="89" t="n">
        <f aca="false">IF(Tasks[[#This Row],[_RemFrom]]=0,0,Tasks[[#This Row],[Finish]])</f>
        <v>0</v>
      </c>
      <c r="GR85" s="88" t="b">
        <f aca="false">IF(Tasks[[#This Row],[Task Name]]="",FALSE(),OR(NOT(BaselineSet),N(Tasks[[#This Row],[Baseline Start]])&gt;0))</f>
        <v>0</v>
      </c>
      <c r="GS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5" s="90" t="str">
        <f aca="false">IF(Tasks[[#This Row],[_IsLeaf]]=1,Tasks[[#This Row],[_Row]],"")</f>
        <v/>
      </c>
      <c r="GW85" s="90" t="str">
        <f aca="false">IFERROR(INDEX(Tasks[UID],SMALL(Tasks[_PickKey],Tasks[[#This Row],[_Row]]))&amp;" "&amp;INDEX(Tasks[Task Name],SMALL(Tasks[_PickKey],Tasks[[#This Row],[_Row]])),"")</f>
        <v/>
      </c>
      <c r="GX85" s="42" t="str">
        <f aca="false">IF(Tasks[[#This Row],[Task Name]]="","",IF(Tasks[[#This Row],[_IsSummary]],NETWORKDAYS.INTL(Tasks[[#This Row],[Start]],Tasks[[#This Row],[Finish]],WorkWeek,Holidays),N(Tasks[[#This Row],[_Days]])))</f>
        <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3"/>
      <c r="U86" s="23"/>
      <c r="V86" s="83"/>
      <c r="W86" s="23"/>
      <c r="X86" s="83"/>
      <c r="Y86" s="23"/>
      <c r="Z86" s="83"/>
      <c r="AA86" s="23"/>
      <c r="AB86" s="23"/>
      <c r="AC86" s="7"/>
      <c r="AD86" s="7"/>
      <c r="AE86" s="62" t="str">
        <f aca="false">IF(Tasks[[#This Row],[Task Name]]="","",IF(Tasks[[#This Row],[_IsSummary]],MIN(INDEX(Tasks[_ShownFcstStart],Tasks[[#This Row],[_Row]]+1):INDEX(Tasks[_ShownFcstStart],Tasks[[#This Row],[_Row]]+Tasks[[#This Row],[_Descendants]])),Tasks[[#This Row],[_ShownFcstStart]]))</f>
        <v/>
      </c>
      <c r="AF86" s="62"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6" s="7"/>
      <c r="AK86" s="22"/>
      <c r="AL86" s="23"/>
      <c r="AM86" s="7"/>
      <c r="AN86" s="46"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2" t="str">
        <f aca="false">IF(Tasks[[#This Row],[Task Name]]="","",IF(N(Tasks[[#This Row],[Baseline Start]])&gt;0,Tasks[[#This Row],[Baseline Start]],Tasks[[#This Row],[_CalcStart]]))</f>
        <v/>
      </c>
      <c r="AR86" s="62" t="str">
        <f aca="false">IF(Tasks[[#This Row],[Task Name]]="","",IF(N(Tasks[[#This Row],[Baseline Finish]])&gt;0,Tasks[[#This Row],[Baseline Finish]],Tasks[[#This Row],[_CalcFinish]]))</f>
        <v/>
      </c>
      <c r="AS86" s="46" t="str">
        <f aca="false">IF(Tasks[[#This Row],[Task Name]]="","",IF(Tasks[[#This Row],[Start]]&gt;=Tasks[[#This Row],[Planned Start]],NETWORKDAYS.INTL(Tasks[[#This Row],[Planned Start]],Tasks[[#This Row],[Start]],WorkWeek,Holidays)-1,1-NETWORKDAYS.INTL(Tasks[[#This Row],[Start]],Tasks[[#This Row],[Planned Start]],WorkWeek,Holidays)))</f>
        <v/>
      </c>
      <c r="AT86" s="62" t="str">
        <f aca="false">IF(Tasks[[#This Row],[Task Name]]="","",IF(Tasks[[#This Row],[_IsSummary]],MIN(INDEX(Tasks[_LeafLateStart],Tasks[[#This Row],[_Row]]+1):INDEX(Tasks[_LeafLateStart],Tasks[[#This Row],[_Row]]+Tasks[[#This Row],[_Descendants]])),Tasks[[#This Row],[_LeafLateStart]]))</f>
        <v/>
      </c>
      <c r="AU86" s="62" t="str">
        <f aca="false">IF(Tasks[[#This Row],[Task Name]]="","",IF(Tasks[[#This Row],[_IsSummary]],MAX(INDEX(Tasks[_LeafLateFinish],Tasks[[#This Row],[_Row]]+1):INDEX(Tasks[_LeafLateFinish],Tasks[[#This Row],[_Row]]+Tasks[[#This Row],[_Descendants]])),Tasks[[#This Row],[_LeafLateFinish]]))</f>
        <v/>
      </c>
      <c r="AV86" s="46"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4"/>
      <c r="BA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5"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6"/>
      <c r="BJ86" s="22"/>
      <c r="BK86" s="46" t="str">
        <f aca="false">IF(OR(Tasks[[#This Row],[Task Name]]="",Tasks[[#This Row],[Baseline Duration]]=""),"",Tasks[[#This Row],[_SpanDays]]-N(Tasks[[#This Row],[Baseline Duration]]))</f>
        <v/>
      </c>
      <c r="BL86" s="85" t="str">
        <f aca="false">IF(OR(Tasks[[#This Row],[Task Name]]="",Tasks[[#This Row],[Baseline Work]]=""),"",Tasks[[#This Row],[Work]]-N(Tasks[[#This Row],[Baseline Work]]))</f>
        <v/>
      </c>
      <c r="BM86" s="62" t="str">
        <f aca="false">IF(Tasks[[#This Row],[Task Name]]="","",IF(OR(TakeBaseline="Yes",N(Tasks[[#This Row],[Baseline Start]])=0),Tasks[[#This Row],[Start]],Tasks[[#This Row],[Baseline Start]]))</f>
        <v/>
      </c>
      <c r="BN86" s="62"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5" t="str">
        <f aca="false">IF(Tasks[[#This Row],[Task Name]]="","",IF(OR(TakeBaseline="Yes",N(Tasks[[#This Row],[Baseline Work]])=0),Tasks[[#This Row],[Work]],Tasks[[#This Row],[Baseline Work]]))</f>
        <v/>
      </c>
      <c r="BQ86" s="7"/>
      <c r="BR86" s="7"/>
      <c r="BS86" s="22"/>
      <c r="BT86" s="87"/>
      <c r="BU86" s="42" t="str">
        <f aca="false">IF(Tasks[[#This Row],[Task Name]]="","",MAX(1,N(Tasks[[#This Row],[Level]])))</f>
        <v/>
      </c>
      <c r="BV86" s="42" t="n">
        <f aca="false">ROW()-ROW(Tasks[[#Headers],[ID]])</f>
        <v>81</v>
      </c>
      <c r="BW86" s="42" t="n">
        <f aca="false">IF(OR(Tasks[[#This Row],[Task Name]]="",Tasks[[#This Row],[_Level]]&lt;=1),0,IFERROR(LOOKUP(2,1/(Tasks[[#Headers],[_Level]]:Tasks[[#This Row],[_Level]]=Tasks[[#This Row],[_Level]]-1),ROW(Tasks[[#Headers],[_Level]]:Tasks[[#This Row],[_Level]])),0))</f>
        <v>0</v>
      </c>
      <c r="BX86" s="42" t="n">
        <f aca="false">IFERROR(N(INDEX(Tasks[_Level],Tasks[[#This Row],[_Row]]+1)),0)</f>
        <v>0</v>
      </c>
      <c r="BY86" s="88" t="b">
        <f aca="false">AND(Tasks[[#This Row],[Task Name]]&lt;&gt;"",Tasks[[#This Row],[_NextLevel]]&gt;Tasks[[#This Row],[_Level]])</f>
        <v>0</v>
      </c>
      <c r="BZ86" s="42" t="n">
        <f aca="false">IF(Tasks[[#This Row],[_IsSummary]],COUNTIF(Tasks[WBS],Tasks[[#This Row],[WBS]]&amp;".*"),0)</f>
        <v>0</v>
      </c>
      <c r="CA86" s="42" t="n">
        <f aca="false">IF(AND(Tasks[[#This Row],[Task Name]]&lt;&gt;"",NOT(Tasks[[#This Row],[_IsSummary]])),1,0)</f>
        <v>0</v>
      </c>
      <c r="CB86" s="42" t="n">
        <f aca="false">IF(N(Tasks[[#This Row],[_Pred1UID]])=0,0,IFERROR(MATCH(Tasks[[#This Row],[_Pred1UID]],Tasks[UID],0),-1))</f>
        <v>0</v>
      </c>
      <c r="CC86" s="42" t="n">
        <f aca="false">IF(N(Tasks[[#This Row],[_Pred2UID]])=0,0,IFERROR(MATCH(Tasks[[#This Row],[_Pred2UID]],Tasks[UID],0),-1))</f>
        <v>0</v>
      </c>
      <c r="CD86" s="42" t="n">
        <f aca="false">IF(N(Tasks[[#This Row],[_Pred3UID]])=0,0,IFERROR(MATCH(Tasks[[#This Row],[_Pred3UID]],Tasks[UID],0),-1))</f>
        <v>0</v>
      </c>
      <c r="CE86" s="42" t="n">
        <f aca="false">IF(N(Tasks[[#This Row],[_Pred4UID]])=0,0,IFERROR(MATCH(Tasks[[#This Row],[_Pred4UID]],Tasks[UID],0),-1))</f>
        <v>0</v>
      </c>
      <c r="CF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6" s="89" t="n">
        <f aca="false">IF(OR(Tasks[[#This Row],[_ConstraintCode]]=2,Tasks[[#This Row],[_ConstraintCode]]=3,Tasks[[#This Row],[_ConstraintCode]]=4,Tasks[[#This Row],[_ConstraintCode]]=6),Tasks[[#This Row],[_ConstraintStart]],0)</f>
        <v>0</v>
      </c>
      <c r="CI86" s="89" t="n">
        <f aca="false">IF(OR(Tasks[[#This Row],[_ConstraintCode]]=2,Tasks[[#This Row],[_ConstraintCode]]=3,Tasks[[#This Row],[_ConstraintCode]]=5,Tasks[[#This Row],[_ConstraintCode]]=7),Tasks[[#This Row],[_ConstraintStart]],2958465)</f>
        <v>2958465</v>
      </c>
      <c r="CJ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6" s="89" t="str">
        <f aca="false">IF(NOT(Tasks[[#This Row],[_IsLeaf]]=1),"",IF(N(Tasks[[#This Row],[_Days]])&lt;=0,Tasks[[#This Row],[_LeafCalcStart]],WORKDAY.INTL(Tasks[[#This Row],[_LeafCalcStart]],Tasks[[#This Row],[_Days]]-1,WorkWeek,Holidays)))</f>
        <v/>
      </c>
      <c r="CL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6" s="42" t="str">
        <f aca="false">IF(Tasks[[#This Row],[_Predecessors]]="","",TRIM(MID(SUBSTITUTE(SUBSTITUTE(SUBSTITUTE(UPPER(Tasks[[#This Row],[_Predecessors]]),";",",")," ",""),",",REPT(" ",99)),1,99)))</f>
        <v/>
      </c>
      <c r="CO86" s="42" t="str">
        <f aca="false">IF(Tasks[[#This Row],[_Pred1Text]]="","",IFERROR(VALUE(LEFT(Tasks[[#This Row],[_Pred1Text]],MIN(FIND("F",Tasks[[#This Row],[_Pred1Text]]&amp;"F"),FIND("S",Tasks[[#This Row],[_Pred1Text]]&amp;"S"),FIND("+",Tasks[[#This Row],[_Pred1Text]]&amp;"+"),FIND("-",Tasks[[#This Row],[_Pred1Text]]&amp;"-"))-1)),""))</f>
        <v/>
      </c>
      <c r="CP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6" s="42" t="str">
        <f aca="false">IF(Tasks[[#This Row],[_Pred1Text]]="","",TRIM(MID(SUBSTITUTE(SUBSTITUTE(SUBSTITUTE(UPPER(Tasks[[#This Row],[_Predecessors]]),";",",")," ",""),",",REPT(" ",99)),100,99)))</f>
        <v/>
      </c>
      <c r="CS86" s="42" t="str">
        <f aca="false">IF(Tasks[[#This Row],[_Pred2Text]]="","",IFERROR(VALUE(LEFT(Tasks[[#This Row],[_Pred2Text]],MIN(FIND("F",Tasks[[#This Row],[_Pred2Text]]&amp;"F"),FIND("S",Tasks[[#This Row],[_Pred2Text]]&amp;"S"),FIND("+",Tasks[[#This Row],[_Pred2Text]]&amp;"+"),FIND("-",Tasks[[#This Row],[_Pred2Text]]&amp;"-"))-1)),""))</f>
        <v/>
      </c>
      <c r="CT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6" s="42" t="str">
        <f aca="false">IF(Tasks[[#This Row],[_Pred2Text]]="","",TRIM(MID(SUBSTITUTE(SUBSTITUTE(SUBSTITUTE(UPPER(Tasks[[#This Row],[_Predecessors]]),";",",")," ",""),",",REPT(" ",99)),199,99)))</f>
        <v/>
      </c>
      <c r="CW86" s="42" t="str">
        <f aca="false">IF(Tasks[[#This Row],[_Pred3Text]]="","",IFERROR(VALUE(LEFT(Tasks[[#This Row],[_Pred3Text]],MIN(FIND("F",Tasks[[#This Row],[_Pred3Text]]&amp;"F"),FIND("S",Tasks[[#This Row],[_Pred3Text]]&amp;"S"),FIND("+",Tasks[[#This Row],[_Pred3Text]]&amp;"+"),FIND("-",Tasks[[#This Row],[_Pred3Text]]&amp;"-"))-1)),""))</f>
        <v/>
      </c>
      <c r="CX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6" s="42" t="str">
        <f aca="false">IF(Tasks[[#This Row],[_Pred3Text]]="","",TRIM(MID(SUBSTITUTE(SUBSTITUTE(SUBSTITUTE(UPPER(Tasks[[#This Row],[_Predecessors]]),";",",")," ",""),",",REPT(" ",99)),298,99)))</f>
        <v/>
      </c>
      <c r="DA86" s="42" t="str">
        <f aca="false">IF(Tasks[[#This Row],[_Pred4Text]]="","",IFERROR(VALUE(LEFT(Tasks[[#This Row],[_Pred4Text]],MIN(FIND("F",Tasks[[#This Row],[_Pred4Text]]&amp;"F"),FIND("S",Tasks[[#This Row],[_Pred4Text]]&amp;"S"),FIND("+",Tasks[[#This Row],[_Pred4Text]]&amp;"+"),FIND("-",Tasks[[#This Row],[_Pred4Text]]&amp;"-"))-1)),""))</f>
        <v/>
      </c>
      <c r="DB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6" s="42" t="str">
        <f aca="false">IF(OR(Tasks[[#This Row],[Task Name]]="",Tasks[[#This Row],[_Resources]]=""),"",TRIM(MID(SUBSTITUTE(Tasks[[#This Row],[_Resources]],",",REPT(" ",99)),1,99)))</f>
        <v/>
      </c>
      <c r="DE86" s="42" t="str">
        <f aca="false">IF(Tasks[[#This Row],[_Res1Text]]="","",TRIM(MID(SUBSTITUTE(Tasks[[#This Row],[_Resources]],",",REPT(" ",99)),100,99)))</f>
        <v/>
      </c>
      <c r="DF86" s="42" t="str">
        <f aca="false">IF(Tasks[[#This Row],[_Res2Text]]="","",TRIM(MID(SUBSTITUTE(Tasks[[#This Row],[_Resources]],",",REPT(" ",99)),199,99)))</f>
        <v/>
      </c>
      <c r="DG86" s="42" t="str">
        <f aca="false">IF(Tasks[[#This Row],[_Res3Text]]="","",TRIM(MID(SUBSTITUTE(Tasks[[#This Row],[_Resources]],",",REPT(" ",99)),298,99)))</f>
        <v/>
      </c>
      <c r="DH86" s="42" t="n">
        <f aca="false">IF(Tasks[[#This Row],[_Res1Text]]="",0,IFERROR(MATCH(TRIM(LEFT(Tasks[[#This Row],[_Res1Text]],FIND("[",Tasks[[#This Row],[_Res1Text]]&amp;"[")-1)),res_Name,0),IFERROR(MATCH(TRIM(LEFT(Tasks[[#This Row],[_Res1Text]],FIND("[",Tasks[[#This Row],[_Res1Text]]&amp;"[")-1)),res_Initials,0),0)))</f>
        <v>0</v>
      </c>
      <c r="DI86" s="42" t="n">
        <f aca="false">IF(Tasks[[#This Row],[_Res2Text]]="",0,IFERROR(MATCH(TRIM(LEFT(Tasks[[#This Row],[_Res2Text]],FIND("[",Tasks[[#This Row],[_Res2Text]]&amp;"[")-1)),res_Name,0),IFERROR(MATCH(TRIM(LEFT(Tasks[[#This Row],[_Res2Text]],FIND("[",Tasks[[#This Row],[_Res2Text]]&amp;"[")-1)),res_Initials,0),0)))</f>
        <v>0</v>
      </c>
      <c r="DJ86" s="42" t="n">
        <f aca="false">IF(Tasks[[#This Row],[_Res3Text]]="",0,IFERROR(MATCH(TRIM(LEFT(Tasks[[#This Row],[_Res3Text]],FIND("[",Tasks[[#This Row],[_Res3Text]]&amp;"[")-1)),res_Name,0),IFERROR(MATCH(TRIM(LEFT(Tasks[[#This Row],[_Res3Text]],FIND("[",Tasks[[#This Row],[_Res3Text]]&amp;"[")-1)),res_Initials,0),0)))</f>
        <v>0</v>
      </c>
      <c r="DK86" s="42" t="n">
        <f aca="false">IF(Tasks[[#This Row],[_Res4Text]]="",0,IFERROR(MATCH(TRIM(LEFT(Tasks[[#This Row],[_Res4Text]],FIND("[",Tasks[[#This Row],[_Res4Text]]&amp;"[")-1)),res_Name,0),IFERROR(MATCH(TRIM(LEFT(Tasks[[#This Row],[_Res4Text]],FIND("[",Tasks[[#This Row],[_Res4Text]]&amp;"[")-1)),res_Initials,0),0)))</f>
        <v>0</v>
      </c>
      <c r="DL86" s="42" t="str">
        <f aca="false">IF(Tasks[[#This Row],[_Res1Text]]="","",IF(Tasks[[#This Row],[_Res1Row]]&gt;0,INDEX(res_Name,Tasks[[#This Row],[_Res1Row]]),TRIM(LEFT(Tasks[[#This Row],[_Res1Text]],FIND("[",Tasks[[#This Row],[_Res1Text]]&amp;"[")-1))))</f>
        <v/>
      </c>
      <c r="DM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6" s="42" t="n">
        <f aca="false">IF(NOT(Tasks[[#This Row],[_IsLeaf]]=1),0,(Tasks[[#This Row],[_Resource1]]&lt;&gt;"")+(Tasks[[#This Row],[_Res2]]&lt;&gt;"")+(Tasks[[#This Row],[_Res3]]&lt;&gt;"")+(Tasks[[#This Row],[_Res4]]&lt;&gt;""))</f>
        <v>0</v>
      </c>
      <c r="DO86" s="42" t="str">
        <f aca="false">IF(Tasks[[#This Row],[_Res2Text]]="","",IF(Tasks[[#This Row],[_Res2Row]]&gt;0,INDEX(res_Name,Tasks[[#This Row],[_Res2Row]]),TRIM(LEFT(Tasks[[#This Row],[_Res2Text]],FIND("[",Tasks[[#This Row],[_Res2Text]]&amp;"[")-1))))</f>
        <v/>
      </c>
      <c r="DP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6" s="42" t="n">
        <f aca="false">IF(OR(NOT(Tasks[[#This Row],[_IsLeaf]]=1),Tasks[[#This Row],[_Res2Row]]=0),0,N(Tasks[[#This Row],[_Days]])*HoursPerDay*IF(Tasks[[#This Row],[_Res2Units]]="",DefaultUnits,Tasks[[#This Row],[_Res2Units]]))</f>
        <v>0</v>
      </c>
      <c r="DR86" s="42" t="n">
        <f aca="false">IF(AND(AND(Tasks[[#This Row],[_IsLeaf]]=1,Tasks[[#This Row],[_LeafTotalWork]]&gt;0),Tasks[[#This Row],[_Res2Work]]&gt;0),Tasks[[#This Row],[_Res2Work]]/(Tasks[[#This Row],[_FinishWorkday]]-Tasks[[#This Row],[_StartWorkday]]+1),0)</f>
        <v>0</v>
      </c>
      <c r="DS86" s="42" t="n">
        <f aca="false">Tasks[[#This Row],[_Res2WorkPerWD]]*MAX(0,Tasks[[#This Row],[_StartWorkday]]-1)</f>
        <v>0</v>
      </c>
      <c r="DT86" s="42" t="n">
        <f aca="false">Tasks[[#This Row],[_Res2Work]]*Tasks[[#This Row],[_LeafProgress]]</f>
        <v>0</v>
      </c>
      <c r="DU86" s="42" t="str">
        <f aca="false">IF(Tasks[[#This Row],[_Res3Text]]="","",IF(Tasks[[#This Row],[_Res3Row]]&gt;0,INDEX(res_Name,Tasks[[#This Row],[_Res3Row]]),TRIM(LEFT(Tasks[[#This Row],[_Res3Text]],FIND("[",Tasks[[#This Row],[_Res3Text]]&amp;"[")-1))))</f>
        <v/>
      </c>
      <c r="DV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6" s="42" t="n">
        <f aca="false">IF(OR(NOT(Tasks[[#This Row],[_IsLeaf]]=1),Tasks[[#This Row],[_Res3Row]]=0),0,N(Tasks[[#This Row],[_Days]])*HoursPerDay*IF(Tasks[[#This Row],[_Res3Units]]="",DefaultUnits,Tasks[[#This Row],[_Res3Units]]))</f>
        <v>0</v>
      </c>
      <c r="DX86" s="42" t="n">
        <f aca="false">IF(AND(AND(Tasks[[#This Row],[_IsLeaf]]=1,Tasks[[#This Row],[_LeafTotalWork]]&gt;0),Tasks[[#This Row],[_Res3Work]]&gt;0),Tasks[[#This Row],[_Res3Work]]/(Tasks[[#This Row],[_FinishWorkday]]-Tasks[[#This Row],[_StartWorkday]]+1),0)</f>
        <v>0</v>
      </c>
      <c r="DY86" s="42" t="n">
        <f aca="false">Tasks[[#This Row],[_Res3WorkPerWD]]*MAX(0,Tasks[[#This Row],[_StartWorkday]]-1)</f>
        <v>0</v>
      </c>
      <c r="DZ86" s="42" t="n">
        <f aca="false">Tasks[[#This Row],[_Res3Work]]*Tasks[[#This Row],[_LeafProgress]]</f>
        <v>0</v>
      </c>
      <c r="EA86" s="42" t="str">
        <f aca="false">IF(Tasks[[#This Row],[_Res4Text]]="","",IF(Tasks[[#This Row],[_Res4Row]]&gt;0,INDEX(res_Name,Tasks[[#This Row],[_Res4Row]]),TRIM(LEFT(Tasks[[#This Row],[_Res4Text]],FIND("[",Tasks[[#This Row],[_Res4Text]]&amp;"[")-1))))</f>
        <v/>
      </c>
      <c r="EB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6" s="42" t="n">
        <f aca="false">IF(OR(NOT(Tasks[[#This Row],[_IsLeaf]]=1),Tasks[[#This Row],[_Res4Row]]=0),0,N(Tasks[[#This Row],[_Days]])*HoursPerDay*IF(Tasks[[#This Row],[_Res4Units]]="",DefaultUnits,Tasks[[#This Row],[_Res4Units]]))</f>
        <v>0</v>
      </c>
      <c r="ED86" s="42" t="n">
        <f aca="false">IF(AND(AND(Tasks[[#This Row],[_IsLeaf]]=1,Tasks[[#This Row],[_LeafTotalWork]]&gt;0),Tasks[[#This Row],[_Res4Work]]&gt;0),Tasks[[#This Row],[_Res4Work]]/(Tasks[[#This Row],[_FinishWorkday]]-Tasks[[#This Row],[_StartWorkday]]+1),0)</f>
        <v>0</v>
      </c>
      <c r="EE86" s="42" t="n">
        <f aca="false">Tasks[[#This Row],[_Res4WorkPerWD]]*MAX(0,Tasks[[#This Row],[_StartWorkday]]-1)</f>
        <v>0</v>
      </c>
      <c r="EF86" s="42" t="n">
        <f aca="false">Tasks[[#This Row],[_Res4Work]]*Tasks[[#This Row],[_LeafProgress]]</f>
        <v>0</v>
      </c>
      <c r="EG86" s="42" t="n">
        <f aca="false">IF(ISNUMBER(Tasks[[#This Row],[% Complete]]),Tasks[[#This Row],[% Complete]],IF(Tasks[[#This Row],[Stage]]="",0,IFERROR(INDEX(stg_Pct,MATCH(Tasks[[#This Row],[Stage]],stg_Name,0)),0)))</f>
        <v>0</v>
      </c>
      <c r="EH86" s="42" t="n">
        <f aca="false">IF(NOT(Tasks[[#This Row],[_IsLeaf]]=1),0,IF(N(Tasks[[#This Row],[Actual Finish]])&gt;0,1,MIN(1,Tasks[[#This Row],[_Pct]])))</f>
        <v>0</v>
      </c>
      <c r="EI86" s="42" t="n">
        <f aca="false">IF(OR(NOT(Tasks[[#This Row],[_IsLeaf]]=1),Tasks[[#This Row],[_Res1Row]]=0),0,N(Tasks[[#This Row],[_Days]])*HoursPerDay*IF(Tasks[[#This Row],[_Units1]]="",DefaultUnits,Tasks[[#This Row],[_Units1]]))</f>
        <v>0</v>
      </c>
      <c r="EJ86" s="42" t="n">
        <f aca="false">Tasks[[#This Row],[_LeafWork]]+Tasks[[#This Row],[_Res2Work]]+Tasks[[#This Row],[_Res3Work]]+Tasks[[#This Row],[_Res4Work]]</f>
        <v>0</v>
      </c>
      <c r="EK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6" s="42" t="n">
        <f aca="false">IF(NOT(Tasks[[#This Row],[_IsLeaf]]=1),0,MAX(_xlfn.MAXIFS(Tasks[_Row],Tasks[_Pred1UID],Tasks[[#This Row],[UID]]),_xlfn.MAXIFS(Tasks[_Row],Tasks[_Pred2UID],Tasks[[#This Row],[UID]]),_xlfn.MAXIFS(Tasks[_Row],Tasks[_Pred3UID],Tasks[[#This Row],[UID]]),_xlfn.MAXIFS(Tasks[_Row],Tasks[_Pred4UID],Tasks[[#This Row],[UID]])))</f>
        <v>0</v>
      </c>
      <c r="ET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6" s="89" t="str">
        <f aca="false">IF(NOT(Tasks[[#This Row],[_IsLeaf]]=1),"",IF(N(Tasks[[#This Row],[_Days]])&lt;=0,Tasks[[#This Row],[_LeafLateFinish]],WORKDAY.INTL(Tasks[[#This Row],[_LeafLateFinish]],-(Tasks[[#This Row],[_Days]]-1),WorkWeek,Holidays)))</f>
        <v/>
      </c>
      <c r="EW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6" s="88" t="b">
        <f aca="false">AND(Tasks[[#This Row],[_IsLeaf]]=1,Tasks[[#This Row],[_LeafProgress]]&lt;1,N(Tasks[[#This Row],[_LeafTotalSlack]])&lt;=CriticalSlackDays)</f>
        <v>0</v>
      </c>
      <c r="EY86" s="42" t="n">
        <f aca="false">IF(AND(Tasks[[#This Row],[_IsLeaf]]=1,Tasks[[#This Row],[_ConstraintCode]]=1,Tasks[[#This Row],[Mode]]&lt;&gt;"Manual",N(Tasks[[#This Row],[Actual Start]])=0),MAX(0,N(Tasks[[#This Row],[Free Slack]])),0)</f>
        <v>0</v>
      </c>
      <c r="EZ86" s="89" t="str">
        <f aca="false">IF(NOT(Tasks[[#This Row],[_IsLeaf]]=1),"",IF(Tasks[[#This Row],[_AlapShift]]=0,Tasks[[#This Row],[_LeafCalcStart]],WORKDAY.INTL(Tasks[[#This Row],[_LeafCalcStart]],Tasks[[#This Row],[_AlapShift]],WorkWeek,Holidays)))</f>
        <v/>
      </c>
      <c r="FA86" s="89" t="str">
        <f aca="false">IF(NOT(Tasks[[#This Row],[_IsLeaf]]=1),"",IF(Tasks[[#This Row],[_AlapShift]]=0,Tasks[[#This Row],[_LeafCalcFinish]],WORKDAY.INTL(Tasks[[#This Row],[_LeafCalcFinish]],Tasks[[#This Row],[_AlapShift]],WorkWeek,Holidays)))</f>
        <v/>
      </c>
      <c r="FB86" s="89" t="str">
        <f aca="false">IF(NOT(Tasks[[#This Row],[_IsLeaf]]=1),"",IF(Tasks[[#This Row],[_AlapShift]]=0,Tasks[[#This Row],[_LeafFcstStart]],WORKDAY.INTL(Tasks[[#This Row],[_LeafFcstStart]],Tasks[[#This Row],[_AlapShift]],WorkWeek,Holidays)))</f>
        <v/>
      </c>
      <c r="FC86" s="89" t="str">
        <f aca="false">IF(NOT(Tasks[[#This Row],[_IsLeaf]]=1),"",IF(Tasks[[#This Row],[_AlapShift]]=0,Tasks[[#This Row],[_LeafFcstFinish]],WORKDAY.INTL(Tasks[[#This Row],[_LeafFcstFinish]],Tasks[[#This Row],[_AlapShift]],WorkWeek,Holidays)))</f>
        <v/>
      </c>
      <c r="FD86" s="89" t="str">
        <f aca="false">IF(Tasks[[#This Row],[Task Name]]="","",IF(Tasks[[#This Row],[_IsSummary]],MIN(INDEX(Tasks[_ShownCalcStart],Tasks[[#This Row],[_Row]]+1):INDEX(Tasks[_ShownCalcStart],Tasks[[#This Row],[_Row]]+Tasks[[#This Row],[_Descendants]])),Tasks[[#This Row],[_ShownCalcStart]]))</f>
        <v/>
      </c>
      <c r="FE86" s="89" t="str">
        <f aca="false">IF(Tasks[[#This Row],[Task Name]]="","",IF(Tasks[[#This Row],[_IsSummary]],MAX(INDEX(Tasks[_ShownCalcFinish],Tasks[[#This Row],[_Row]]+1):INDEX(Tasks[_ShownCalcFinish],Tasks[[#This Row],[_Row]]+Tasks[[#This Row],[_Descendants]])),Tasks[[#This Row],[_ShownCalcFinish]]))</f>
        <v/>
      </c>
      <c r="FF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6" s="42" t="n">
        <f aca="false">IF(AND(Tasks[[#This Row],[_IsLeaf]]=1,Tasks[[#This Row],[_LeafTotalWork]]&gt;0),NETWORKDAYS.INTL(ProjectStart,Tasks[[#This Row],[_ShownFcstStart]],WorkWeek,Holidays),0)</f>
        <v>0</v>
      </c>
      <c r="FS86" s="42" t="n">
        <f aca="false">IF(AND(Tasks[[#This Row],[_IsLeaf]]=1,Tasks[[#This Row],[_LeafTotalWork]]&gt;0),MAX(Tasks[[#This Row],[_StartWorkday]],NETWORKDAYS.INTL(ProjectStart,Tasks[[#This Row],[_ShownFcstFinish]],WorkWeek,Holidays)),0)</f>
        <v>0</v>
      </c>
      <c r="FT86" s="42" t="n">
        <f aca="false">IF(AND(Tasks[[#This Row],[_IsLeaf]]=1,Tasks[[#This Row],[_LeafTotalWork]]&gt;0),Tasks[[#This Row],[_LeafWork]]/(Tasks[[#This Row],[_FinishWorkday]]-Tasks[[#This Row],[_StartWorkday]]+1),0)</f>
        <v>0</v>
      </c>
      <c r="FU86" s="42" t="n">
        <f aca="false">Tasks[[#This Row],[_WorkPerWorkday]]*(Tasks[[#This Row],[_StartWorkday]]-1)</f>
        <v>-0</v>
      </c>
      <c r="FV86" s="42" t="n">
        <f aca="false">IF(Tasks[[#This Row],[_IsLeaf]]=1,MAX(N(Tasks[[#This Row],[_Days]]),0.1),0)</f>
        <v>0</v>
      </c>
      <c r="FW86" s="42" t="n">
        <f aca="false">Tasks[[#This Row],[_WeightDur]]*Tasks[[#This Row],[_LeafProgress]]</f>
        <v>0</v>
      </c>
      <c r="FX86" s="42" t="n">
        <f aca="false">Tasks[[#This Row],[_WeightDur]]*Tasks[[#This Row],[_PlannedPct]]</f>
        <v>0</v>
      </c>
      <c r="FY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6" s="42" t="str">
        <f aca="false">IF(AND(Tasks[[#This Row],[_IsLeaf]]=1,N(Tasks[[#This Row],[_Days]])=0,Tasks[[#This Row],[_LeafProgress]]&lt;1),Tasks[[#This Row],[_ShownFcstFinish]]+Tasks[[#This Row],[_Row]]/100000,"")</f>
        <v/>
      </c>
      <c r="GA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6" s="42" t="str">
        <f aca="false">IF(Tasks[[#This Row],[Task Name]]="","",LEFT(Tasks[[#This Row],[WBS]],FIND(".",Tasks[[#This Row],[WBS]]&amp;".")-1))</f>
        <v/>
      </c>
      <c r="GC86" s="42" t="str">
        <f aca="false">IF(AND(Tasks[[#This Row],[Task Name]]&lt;&gt;"",Tasks[[#This Row],[_Level]]=1),Tasks[[#This Row],[_Row]],"")</f>
        <v/>
      </c>
      <c r="GD86" s="42" t="str">
        <f aca="false">IF(AND(Tasks[[#This Row],[_IsLeaf]]=1,N(Tasks[[#This Row],[_Days]])=0),Tasks[[#This Row],[Planned Finish]]+Tasks[[#This Row],[_Row]]/100000,"")</f>
        <v/>
      </c>
      <c r="GE86" s="42" t="str">
        <f aca="false">IF(AND(Tasks[[#This Row],[_IsLeaf]]=1,Tasks[[#This Row],[_LeafProgress]]&lt;1,OR(N(Tasks[[#This Row],[Finish Var]])&gt;0,Tasks[[#This Row],[Status]]="Late Start")),MAX(0,Tasks[[#This Row],[Finish Var]])+1-Tasks[[#This Row],[_Row]]/1000000,"")</f>
        <v/>
      </c>
      <c r="GF86" s="42" t="str">
        <f aca="false">IF(AND(Tasks[[#This Row],[_IsLeaf]]=1,N(Tasks[[#This Row],[Actual Start]])=0,Tasks[[#This Row],[_ShownFcstStart]]&gt;=StatusDate,Tasks[[#This Row],[_ShownFcstStart]]&lt;=LookaheadEnd),Tasks[[#This Row],[_ShownFcstStart]]+Tasks[[#This Row],[_Row]]/100000,"")</f>
        <v/>
      </c>
      <c r="GG86" s="42" t="str">
        <f aca="false">IF(AND(Tasks[[#This Row],[_IsLeaf]]=1,Tasks[[#This Row],[_LeafProgress]]&lt;1,Tasks[[#This Row],[_ShownFcstFinish]]&gt;=StatusDate,Tasks[[#This Row],[_ShownFcstFinish]]&lt;=LookaheadEnd),Tasks[[#This Row],[_ShownFcstFinish]]+Tasks[[#This Row],[_Row]]/100000,"")</f>
        <v/>
      </c>
      <c r="GH86" s="42" t="str">
        <f aca="false">IF(Tasks[[#This Row],[_LeafCritical]],Tasks[[#This Row],[_ShownFcstStart]]+Tasks[[#This Row],[_Row]]/100000,"")</f>
        <v/>
      </c>
      <c r="GI86" s="42" t="n">
        <f aca="false">Tasks[[#This Row],[_LeafWork]]*Tasks[[#This Row],[_LeafProgress]]</f>
        <v>0</v>
      </c>
      <c r="GJ86" s="89" t="str">
        <f aca="false">IF(AND(Tasks[[#This Row],[_IsLeaf]]=1,Tasks[[#This Row],[_LeafProgress]]&gt;=1),IF(N(Tasks[[#This Row],[Actual Finish]])&gt;0,Tasks[[#This Row],[Actual Finish]],Tasks[[#This Row],[_ShownFcstFinish]]),"")</f>
        <v/>
      </c>
      <c r="GK86" s="42" t="n">
        <f aca="false">IF(Tasks[[#This Row],[_IsLeaf]]=1,N(Tasks[[#This Row],[Story Points]]),0)</f>
        <v>0</v>
      </c>
      <c r="GL86" s="42" t="str">
        <f aca="false">""</f>
        <v/>
      </c>
      <c r="GM86" s="88" t="b">
        <f aca="false">IF(Tasks[[#This Row],[Task Name]]="",FALSE(),AND(Tasks[[#This Row],[_IsLeaf]]=1,N(Tasks[[#This Row],[_Days]])=0))</f>
        <v>0</v>
      </c>
      <c r="GN86" s="89" t="n">
        <f aca="false">IF(Tasks[[#This Row],[Task Name]]="",0,IF(AND(Tasks[[#This Row],[_IsLeaf]]=1,NOT(Tasks[[#This Row],[_IsMilestone]]),N(Tasks[[#This Row],[Progress]])&gt;0),Tasks[[#This Row],[Start]],0))</f>
        <v>0</v>
      </c>
      <c r="GO86" s="89" t="n">
        <f aca="false">IF(Tasks[[#This Row],[_DoneFrom]]=0,0,IF(Tasks[[#This Row],[Progress]]&gt;=1,Tasks[[#This Row],[Finish]],MAX(Tasks[[#This Row],[_DoneFrom]],Tasks[[#This Row],[Start]]+ROUND((Tasks[[#This Row],[Finish]]-Tasks[[#This Row],[Start]]+1)*Tasks[[#This Row],[Progress]],0)-1)))</f>
        <v>0</v>
      </c>
      <c r="GP86" s="89" t="n">
        <f aca="false">IF(Tasks[[#This Row],[Task Name]]="",0,IF(OR(NOT(Tasks[[#This Row],[_IsLeaf]]=1),Tasks[[#This Row],[_IsMilestone]],N(Tasks[[#This Row],[Progress]])&gt;=1),0,IF(Tasks[[#This Row],[_DoneTo]]&gt;0,Tasks[[#This Row],[_DoneTo]]+1,Tasks[[#This Row],[Start]])))</f>
        <v>0</v>
      </c>
      <c r="GQ86" s="89" t="n">
        <f aca="false">IF(Tasks[[#This Row],[_RemFrom]]=0,0,Tasks[[#This Row],[Finish]])</f>
        <v>0</v>
      </c>
      <c r="GR86" s="88" t="b">
        <f aca="false">IF(Tasks[[#This Row],[Task Name]]="",FALSE(),OR(NOT(BaselineSet),N(Tasks[[#This Row],[Baseline Start]])&gt;0))</f>
        <v>0</v>
      </c>
      <c r="GS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6" s="90" t="str">
        <f aca="false">IF(Tasks[[#This Row],[_IsLeaf]]=1,Tasks[[#This Row],[_Row]],"")</f>
        <v/>
      </c>
      <c r="GW86" s="90" t="str">
        <f aca="false">IFERROR(INDEX(Tasks[UID],SMALL(Tasks[_PickKey],Tasks[[#This Row],[_Row]]))&amp;" "&amp;INDEX(Tasks[Task Name],SMALL(Tasks[_PickKey],Tasks[[#This Row],[_Row]])),"")</f>
        <v/>
      </c>
      <c r="GX86" s="42" t="str">
        <f aca="false">IF(Tasks[[#This Row],[Task Name]]="","",IF(Tasks[[#This Row],[_IsSummary]],NETWORKDAYS.INTL(Tasks[[#This Row],[Start]],Tasks[[#This Row],[Finish]],WorkWeek,Holidays),N(Tasks[[#This Row],[_Days]])))</f>
        <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3"/>
      <c r="U87" s="23"/>
      <c r="V87" s="83"/>
      <c r="W87" s="23"/>
      <c r="X87" s="83"/>
      <c r="Y87" s="23"/>
      <c r="Z87" s="83"/>
      <c r="AA87" s="23"/>
      <c r="AB87" s="23"/>
      <c r="AC87" s="7"/>
      <c r="AD87" s="7"/>
      <c r="AE87" s="62" t="str">
        <f aca="false">IF(Tasks[[#This Row],[Task Name]]="","",IF(Tasks[[#This Row],[_IsSummary]],MIN(INDEX(Tasks[_ShownFcstStart],Tasks[[#This Row],[_Row]]+1):INDEX(Tasks[_ShownFcstStart],Tasks[[#This Row],[_Row]]+Tasks[[#This Row],[_Descendants]])),Tasks[[#This Row],[_ShownFcstStart]]))</f>
        <v/>
      </c>
      <c r="AF87" s="62"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7" s="7"/>
      <c r="AK87" s="22"/>
      <c r="AL87" s="23"/>
      <c r="AM87" s="7"/>
      <c r="AN87" s="46"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2" t="str">
        <f aca="false">IF(Tasks[[#This Row],[Task Name]]="","",IF(N(Tasks[[#This Row],[Baseline Start]])&gt;0,Tasks[[#This Row],[Baseline Start]],Tasks[[#This Row],[_CalcStart]]))</f>
        <v/>
      </c>
      <c r="AR87" s="62" t="str">
        <f aca="false">IF(Tasks[[#This Row],[Task Name]]="","",IF(N(Tasks[[#This Row],[Baseline Finish]])&gt;0,Tasks[[#This Row],[Baseline Finish]],Tasks[[#This Row],[_CalcFinish]]))</f>
        <v/>
      </c>
      <c r="AS87" s="46" t="str">
        <f aca="false">IF(Tasks[[#This Row],[Task Name]]="","",IF(Tasks[[#This Row],[Start]]&gt;=Tasks[[#This Row],[Planned Start]],NETWORKDAYS.INTL(Tasks[[#This Row],[Planned Start]],Tasks[[#This Row],[Start]],WorkWeek,Holidays)-1,1-NETWORKDAYS.INTL(Tasks[[#This Row],[Start]],Tasks[[#This Row],[Planned Start]],WorkWeek,Holidays)))</f>
        <v/>
      </c>
      <c r="AT87" s="62" t="str">
        <f aca="false">IF(Tasks[[#This Row],[Task Name]]="","",IF(Tasks[[#This Row],[_IsSummary]],MIN(INDEX(Tasks[_LeafLateStart],Tasks[[#This Row],[_Row]]+1):INDEX(Tasks[_LeafLateStart],Tasks[[#This Row],[_Row]]+Tasks[[#This Row],[_Descendants]])),Tasks[[#This Row],[_LeafLateStart]]))</f>
        <v/>
      </c>
      <c r="AU87" s="62" t="str">
        <f aca="false">IF(Tasks[[#This Row],[Task Name]]="","",IF(Tasks[[#This Row],[_IsSummary]],MAX(INDEX(Tasks[_LeafLateFinish],Tasks[[#This Row],[_Row]]+1):INDEX(Tasks[_LeafLateFinish],Tasks[[#This Row],[_Row]]+Tasks[[#This Row],[_Descendants]])),Tasks[[#This Row],[_LeafLateFinish]]))</f>
        <v/>
      </c>
      <c r="AV87" s="46"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4"/>
      <c r="BA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5"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6"/>
      <c r="BJ87" s="22"/>
      <c r="BK87" s="46" t="str">
        <f aca="false">IF(OR(Tasks[[#This Row],[Task Name]]="",Tasks[[#This Row],[Baseline Duration]]=""),"",Tasks[[#This Row],[_SpanDays]]-N(Tasks[[#This Row],[Baseline Duration]]))</f>
        <v/>
      </c>
      <c r="BL87" s="85" t="str">
        <f aca="false">IF(OR(Tasks[[#This Row],[Task Name]]="",Tasks[[#This Row],[Baseline Work]]=""),"",Tasks[[#This Row],[Work]]-N(Tasks[[#This Row],[Baseline Work]]))</f>
        <v/>
      </c>
      <c r="BM87" s="62" t="str">
        <f aca="false">IF(Tasks[[#This Row],[Task Name]]="","",IF(OR(TakeBaseline="Yes",N(Tasks[[#This Row],[Baseline Start]])=0),Tasks[[#This Row],[Start]],Tasks[[#This Row],[Baseline Start]]))</f>
        <v/>
      </c>
      <c r="BN87" s="62"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5" t="str">
        <f aca="false">IF(Tasks[[#This Row],[Task Name]]="","",IF(OR(TakeBaseline="Yes",N(Tasks[[#This Row],[Baseline Work]])=0),Tasks[[#This Row],[Work]],Tasks[[#This Row],[Baseline Work]]))</f>
        <v/>
      </c>
      <c r="BQ87" s="7"/>
      <c r="BR87" s="7"/>
      <c r="BS87" s="22"/>
      <c r="BT87" s="87"/>
      <c r="BU87" s="42" t="str">
        <f aca="false">IF(Tasks[[#This Row],[Task Name]]="","",MAX(1,N(Tasks[[#This Row],[Level]])))</f>
        <v/>
      </c>
      <c r="BV87" s="42" t="n">
        <f aca="false">ROW()-ROW(Tasks[[#Headers],[ID]])</f>
        <v>82</v>
      </c>
      <c r="BW87" s="42" t="n">
        <f aca="false">IF(OR(Tasks[[#This Row],[Task Name]]="",Tasks[[#This Row],[_Level]]&lt;=1),0,IFERROR(LOOKUP(2,1/(Tasks[[#Headers],[_Level]]:Tasks[[#This Row],[_Level]]=Tasks[[#This Row],[_Level]]-1),ROW(Tasks[[#Headers],[_Level]]:Tasks[[#This Row],[_Level]])),0))</f>
        <v>0</v>
      </c>
      <c r="BX87" s="42" t="n">
        <f aca="false">IFERROR(N(INDEX(Tasks[_Level],Tasks[[#This Row],[_Row]]+1)),0)</f>
        <v>0</v>
      </c>
      <c r="BY87" s="88" t="b">
        <f aca="false">AND(Tasks[[#This Row],[Task Name]]&lt;&gt;"",Tasks[[#This Row],[_NextLevel]]&gt;Tasks[[#This Row],[_Level]])</f>
        <v>0</v>
      </c>
      <c r="BZ87" s="42" t="n">
        <f aca="false">IF(Tasks[[#This Row],[_IsSummary]],COUNTIF(Tasks[WBS],Tasks[[#This Row],[WBS]]&amp;".*"),0)</f>
        <v>0</v>
      </c>
      <c r="CA87" s="42" t="n">
        <f aca="false">IF(AND(Tasks[[#This Row],[Task Name]]&lt;&gt;"",NOT(Tasks[[#This Row],[_IsSummary]])),1,0)</f>
        <v>0</v>
      </c>
      <c r="CB87" s="42" t="n">
        <f aca="false">IF(N(Tasks[[#This Row],[_Pred1UID]])=0,0,IFERROR(MATCH(Tasks[[#This Row],[_Pred1UID]],Tasks[UID],0),-1))</f>
        <v>0</v>
      </c>
      <c r="CC87" s="42" t="n">
        <f aca="false">IF(N(Tasks[[#This Row],[_Pred2UID]])=0,0,IFERROR(MATCH(Tasks[[#This Row],[_Pred2UID]],Tasks[UID],0),-1))</f>
        <v>0</v>
      </c>
      <c r="CD87" s="42" t="n">
        <f aca="false">IF(N(Tasks[[#This Row],[_Pred3UID]])=0,0,IFERROR(MATCH(Tasks[[#This Row],[_Pred3UID]],Tasks[UID],0),-1))</f>
        <v>0</v>
      </c>
      <c r="CE87" s="42" t="n">
        <f aca="false">IF(N(Tasks[[#This Row],[_Pred4UID]])=0,0,IFERROR(MATCH(Tasks[[#This Row],[_Pred4UID]],Tasks[UID],0),-1))</f>
        <v>0</v>
      </c>
      <c r="CF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7" s="89" t="n">
        <f aca="false">IF(OR(Tasks[[#This Row],[_ConstraintCode]]=2,Tasks[[#This Row],[_ConstraintCode]]=3,Tasks[[#This Row],[_ConstraintCode]]=4,Tasks[[#This Row],[_ConstraintCode]]=6),Tasks[[#This Row],[_ConstraintStart]],0)</f>
        <v>0</v>
      </c>
      <c r="CI87" s="89" t="n">
        <f aca="false">IF(OR(Tasks[[#This Row],[_ConstraintCode]]=2,Tasks[[#This Row],[_ConstraintCode]]=3,Tasks[[#This Row],[_ConstraintCode]]=5,Tasks[[#This Row],[_ConstraintCode]]=7),Tasks[[#This Row],[_ConstraintStart]],2958465)</f>
        <v>2958465</v>
      </c>
      <c r="CJ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7" s="89" t="str">
        <f aca="false">IF(NOT(Tasks[[#This Row],[_IsLeaf]]=1),"",IF(N(Tasks[[#This Row],[_Days]])&lt;=0,Tasks[[#This Row],[_LeafCalcStart]],WORKDAY.INTL(Tasks[[#This Row],[_LeafCalcStart]],Tasks[[#This Row],[_Days]]-1,WorkWeek,Holidays)))</f>
        <v/>
      </c>
      <c r="CL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7" s="42" t="str">
        <f aca="false">IF(Tasks[[#This Row],[_Predecessors]]="","",TRIM(MID(SUBSTITUTE(SUBSTITUTE(SUBSTITUTE(UPPER(Tasks[[#This Row],[_Predecessors]]),";",",")," ",""),",",REPT(" ",99)),1,99)))</f>
        <v/>
      </c>
      <c r="CO87" s="42" t="str">
        <f aca="false">IF(Tasks[[#This Row],[_Pred1Text]]="","",IFERROR(VALUE(LEFT(Tasks[[#This Row],[_Pred1Text]],MIN(FIND("F",Tasks[[#This Row],[_Pred1Text]]&amp;"F"),FIND("S",Tasks[[#This Row],[_Pred1Text]]&amp;"S"),FIND("+",Tasks[[#This Row],[_Pred1Text]]&amp;"+"),FIND("-",Tasks[[#This Row],[_Pred1Text]]&amp;"-"))-1)),""))</f>
        <v/>
      </c>
      <c r="CP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7" s="42" t="str">
        <f aca="false">IF(Tasks[[#This Row],[_Pred1Text]]="","",TRIM(MID(SUBSTITUTE(SUBSTITUTE(SUBSTITUTE(UPPER(Tasks[[#This Row],[_Predecessors]]),";",",")," ",""),",",REPT(" ",99)),100,99)))</f>
        <v/>
      </c>
      <c r="CS87" s="42" t="str">
        <f aca="false">IF(Tasks[[#This Row],[_Pred2Text]]="","",IFERROR(VALUE(LEFT(Tasks[[#This Row],[_Pred2Text]],MIN(FIND("F",Tasks[[#This Row],[_Pred2Text]]&amp;"F"),FIND("S",Tasks[[#This Row],[_Pred2Text]]&amp;"S"),FIND("+",Tasks[[#This Row],[_Pred2Text]]&amp;"+"),FIND("-",Tasks[[#This Row],[_Pred2Text]]&amp;"-"))-1)),""))</f>
        <v/>
      </c>
      <c r="CT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7" s="42" t="str">
        <f aca="false">IF(Tasks[[#This Row],[_Pred2Text]]="","",TRIM(MID(SUBSTITUTE(SUBSTITUTE(SUBSTITUTE(UPPER(Tasks[[#This Row],[_Predecessors]]),";",",")," ",""),",",REPT(" ",99)),199,99)))</f>
        <v/>
      </c>
      <c r="CW87" s="42" t="str">
        <f aca="false">IF(Tasks[[#This Row],[_Pred3Text]]="","",IFERROR(VALUE(LEFT(Tasks[[#This Row],[_Pred3Text]],MIN(FIND("F",Tasks[[#This Row],[_Pred3Text]]&amp;"F"),FIND("S",Tasks[[#This Row],[_Pred3Text]]&amp;"S"),FIND("+",Tasks[[#This Row],[_Pred3Text]]&amp;"+"),FIND("-",Tasks[[#This Row],[_Pred3Text]]&amp;"-"))-1)),""))</f>
        <v/>
      </c>
      <c r="CX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7" s="42" t="str">
        <f aca="false">IF(Tasks[[#This Row],[_Pred3Text]]="","",TRIM(MID(SUBSTITUTE(SUBSTITUTE(SUBSTITUTE(UPPER(Tasks[[#This Row],[_Predecessors]]),";",",")," ",""),",",REPT(" ",99)),298,99)))</f>
        <v/>
      </c>
      <c r="DA87" s="42" t="str">
        <f aca="false">IF(Tasks[[#This Row],[_Pred4Text]]="","",IFERROR(VALUE(LEFT(Tasks[[#This Row],[_Pred4Text]],MIN(FIND("F",Tasks[[#This Row],[_Pred4Text]]&amp;"F"),FIND("S",Tasks[[#This Row],[_Pred4Text]]&amp;"S"),FIND("+",Tasks[[#This Row],[_Pred4Text]]&amp;"+"),FIND("-",Tasks[[#This Row],[_Pred4Text]]&amp;"-"))-1)),""))</f>
        <v/>
      </c>
      <c r="DB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7" s="42" t="str">
        <f aca="false">IF(OR(Tasks[[#This Row],[Task Name]]="",Tasks[[#This Row],[_Resources]]=""),"",TRIM(MID(SUBSTITUTE(Tasks[[#This Row],[_Resources]],",",REPT(" ",99)),1,99)))</f>
        <v/>
      </c>
      <c r="DE87" s="42" t="str">
        <f aca="false">IF(Tasks[[#This Row],[_Res1Text]]="","",TRIM(MID(SUBSTITUTE(Tasks[[#This Row],[_Resources]],",",REPT(" ",99)),100,99)))</f>
        <v/>
      </c>
      <c r="DF87" s="42" t="str">
        <f aca="false">IF(Tasks[[#This Row],[_Res2Text]]="","",TRIM(MID(SUBSTITUTE(Tasks[[#This Row],[_Resources]],",",REPT(" ",99)),199,99)))</f>
        <v/>
      </c>
      <c r="DG87" s="42" t="str">
        <f aca="false">IF(Tasks[[#This Row],[_Res3Text]]="","",TRIM(MID(SUBSTITUTE(Tasks[[#This Row],[_Resources]],",",REPT(" ",99)),298,99)))</f>
        <v/>
      </c>
      <c r="DH87" s="42" t="n">
        <f aca="false">IF(Tasks[[#This Row],[_Res1Text]]="",0,IFERROR(MATCH(TRIM(LEFT(Tasks[[#This Row],[_Res1Text]],FIND("[",Tasks[[#This Row],[_Res1Text]]&amp;"[")-1)),res_Name,0),IFERROR(MATCH(TRIM(LEFT(Tasks[[#This Row],[_Res1Text]],FIND("[",Tasks[[#This Row],[_Res1Text]]&amp;"[")-1)),res_Initials,0),0)))</f>
        <v>0</v>
      </c>
      <c r="DI87" s="42" t="n">
        <f aca="false">IF(Tasks[[#This Row],[_Res2Text]]="",0,IFERROR(MATCH(TRIM(LEFT(Tasks[[#This Row],[_Res2Text]],FIND("[",Tasks[[#This Row],[_Res2Text]]&amp;"[")-1)),res_Name,0),IFERROR(MATCH(TRIM(LEFT(Tasks[[#This Row],[_Res2Text]],FIND("[",Tasks[[#This Row],[_Res2Text]]&amp;"[")-1)),res_Initials,0),0)))</f>
        <v>0</v>
      </c>
      <c r="DJ87" s="42" t="n">
        <f aca="false">IF(Tasks[[#This Row],[_Res3Text]]="",0,IFERROR(MATCH(TRIM(LEFT(Tasks[[#This Row],[_Res3Text]],FIND("[",Tasks[[#This Row],[_Res3Text]]&amp;"[")-1)),res_Name,0),IFERROR(MATCH(TRIM(LEFT(Tasks[[#This Row],[_Res3Text]],FIND("[",Tasks[[#This Row],[_Res3Text]]&amp;"[")-1)),res_Initials,0),0)))</f>
        <v>0</v>
      </c>
      <c r="DK87" s="42" t="n">
        <f aca="false">IF(Tasks[[#This Row],[_Res4Text]]="",0,IFERROR(MATCH(TRIM(LEFT(Tasks[[#This Row],[_Res4Text]],FIND("[",Tasks[[#This Row],[_Res4Text]]&amp;"[")-1)),res_Name,0),IFERROR(MATCH(TRIM(LEFT(Tasks[[#This Row],[_Res4Text]],FIND("[",Tasks[[#This Row],[_Res4Text]]&amp;"[")-1)),res_Initials,0),0)))</f>
        <v>0</v>
      </c>
      <c r="DL87" s="42" t="str">
        <f aca="false">IF(Tasks[[#This Row],[_Res1Text]]="","",IF(Tasks[[#This Row],[_Res1Row]]&gt;0,INDEX(res_Name,Tasks[[#This Row],[_Res1Row]]),TRIM(LEFT(Tasks[[#This Row],[_Res1Text]],FIND("[",Tasks[[#This Row],[_Res1Text]]&amp;"[")-1))))</f>
        <v/>
      </c>
      <c r="DM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7" s="42" t="n">
        <f aca="false">IF(NOT(Tasks[[#This Row],[_IsLeaf]]=1),0,(Tasks[[#This Row],[_Resource1]]&lt;&gt;"")+(Tasks[[#This Row],[_Res2]]&lt;&gt;"")+(Tasks[[#This Row],[_Res3]]&lt;&gt;"")+(Tasks[[#This Row],[_Res4]]&lt;&gt;""))</f>
        <v>0</v>
      </c>
      <c r="DO87" s="42" t="str">
        <f aca="false">IF(Tasks[[#This Row],[_Res2Text]]="","",IF(Tasks[[#This Row],[_Res2Row]]&gt;0,INDEX(res_Name,Tasks[[#This Row],[_Res2Row]]),TRIM(LEFT(Tasks[[#This Row],[_Res2Text]],FIND("[",Tasks[[#This Row],[_Res2Text]]&amp;"[")-1))))</f>
        <v/>
      </c>
      <c r="DP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7" s="42" t="n">
        <f aca="false">IF(OR(NOT(Tasks[[#This Row],[_IsLeaf]]=1),Tasks[[#This Row],[_Res2Row]]=0),0,N(Tasks[[#This Row],[_Days]])*HoursPerDay*IF(Tasks[[#This Row],[_Res2Units]]="",DefaultUnits,Tasks[[#This Row],[_Res2Units]]))</f>
        <v>0</v>
      </c>
      <c r="DR87" s="42" t="n">
        <f aca="false">IF(AND(AND(Tasks[[#This Row],[_IsLeaf]]=1,Tasks[[#This Row],[_LeafTotalWork]]&gt;0),Tasks[[#This Row],[_Res2Work]]&gt;0),Tasks[[#This Row],[_Res2Work]]/(Tasks[[#This Row],[_FinishWorkday]]-Tasks[[#This Row],[_StartWorkday]]+1),0)</f>
        <v>0</v>
      </c>
      <c r="DS87" s="42" t="n">
        <f aca="false">Tasks[[#This Row],[_Res2WorkPerWD]]*MAX(0,Tasks[[#This Row],[_StartWorkday]]-1)</f>
        <v>0</v>
      </c>
      <c r="DT87" s="42" t="n">
        <f aca="false">Tasks[[#This Row],[_Res2Work]]*Tasks[[#This Row],[_LeafProgress]]</f>
        <v>0</v>
      </c>
      <c r="DU87" s="42" t="str">
        <f aca="false">IF(Tasks[[#This Row],[_Res3Text]]="","",IF(Tasks[[#This Row],[_Res3Row]]&gt;0,INDEX(res_Name,Tasks[[#This Row],[_Res3Row]]),TRIM(LEFT(Tasks[[#This Row],[_Res3Text]],FIND("[",Tasks[[#This Row],[_Res3Text]]&amp;"[")-1))))</f>
        <v/>
      </c>
      <c r="DV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7" s="42" t="n">
        <f aca="false">IF(OR(NOT(Tasks[[#This Row],[_IsLeaf]]=1),Tasks[[#This Row],[_Res3Row]]=0),0,N(Tasks[[#This Row],[_Days]])*HoursPerDay*IF(Tasks[[#This Row],[_Res3Units]]="",DefaultUnits,Tasks[[#This Row],[_Res3Units]]))</f>
        <v>0</v>
      </c>
      <c r="DX87" s="42" t="n">
        <f aca="false">IF(AND(AND(Tasks[[#This Row],[_IsLeaf]]=1,Tasks[[#This Row],[_LeafTotalWork]]&gt;0),Tasks[[#This Row],[_Res3Work]]&gt;0),Tasks[[#This Row],[_Res3Work]]/(Tasks[[#This Row],[_FinishWorkday]]-Tasks[[#This Row],[_StartWorkday]]+1),0)</f>
        <v>0</v>
      </c>
      <c r="DY87" s="42" t="n">
        <f aca="false">Tasks[[#This Row],[_Res3WorkPerWD]]*MAX(0,Tasks[[#This Row],[_StartWorkday]]-1)</f>
        <v>0</v>
      </c>
      <c r="DZ87" s="42" t="n">
        <f aca="false">Tasks[[#This Row],[_Res3Work]]*Tasks[[#This Row],[_LeafProgress]]</f>
        <v>0</v>
      </c>
      <c r="EA87" s="42" t="str">
        <f aca="false">IF(Tasks[[#This Row],[_Res4Text]]="","",IF(Tasks[[#This Row],[_Res4Row]]&gt;0,INDEX(res_Name,Tasks[[#This Row],[_Res4Row]]),TRIM(LEFT(Tasks[[#This Row],[_Res4Text]],FIND("[",Tasks[[#This Row],[_Res4Text]]&amp;"[")-1))))</f>
        <v/>
      </c>
      <c r="EB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7" s="42" t="n">
        <f aca="false">IF(OR(NOT(Tasks[[#This Row],[_IsLeaf]]=1),Tasks[[#This Row],[_Res4Row]]=0),0,N(Tasks[[#This Row],[_Days]])*HoursPerDay*IF(Tasks[[#This Row],[_Res4Units]]="",DefaultUnits,Tasks[[#This Row],[_Res4Units]]))</f>
        <v>0</v>
      </c>
      <c r="ED87" s="42" t="n">
        <f aca="false">IF(AND(AND(Tasks[[#This Row],[_IsLeaf]]=1,Tasks[[#This Row],[_LeafTotalWork]]&gt;0),Tasks[[#This Row],[_Res4Work]]&gt;0),Tasks[[#This Row],[_Res4Work]]/(Tasks[[#This Row],[_FinishWorkday]]-Tasks[[#This Row],[_StartWorkday]]+1),0)</f>
        <v>0</v>
      </c>
      <c r="EE87" s="42" t="n">
        <f aca="false">Tasks[[#This Row],[_Res4WorkPerWD]]*MAX(0,Tasks[[#This Row],[_StartWorkday]]-1)</f>
        <v>0</v>
      </c>
      <c r="EF87" s="42" t="n">
        <f aca="false">Tasks[[#This Row],[_Res4Work]]*Tasks[[#This Row],[_LeafProgress]]</f>
        <v>0</v>
      </c>
      <c r="EG87" s="42" t="n">
        <f aca="false">IF(ISNUMBER(Tasks[[#This Row],[% Complete]]),Tasks[[#This Row],[% Complete]],IF(Tasks[[#This Row],[Stage]]="",0,IFERROR(INDEX(stg_Pct,MATCH(Tasks[[#This Row],[Stage]],stg_Name,0)),0)))</f>
        <v>0</v>
      </c>
      <c r="EH87" s="42" t="n">
        <f aca="false">IF(NOT(Tasks[[#This Row],[_IsLeaf]]=1),0,IF(N(Tasks[[#This Row],[Actual Finish]])&gt;0,1,MIN(1,Tasks[[#This Row],[_Pct]])))</f>
        <v>0</v>
      </c>
      <c r="EI87" s="42" t="n">
        <f aca="false">IF(OR(NOT(Tasks[[#This Row],[_IsLeaf]]=1),Tasks[[#This Row],[_Res1Row]]=0),0,N(Tasks[[#This Row],[_Days]])*HoursPerDay*IF(Tasks[[#This Row],[_Units1]]="",DefaultUnits,Tasks[[#This Row],[_Units1]]))</f>
        <v>0</v>
      </c>
      <c r="EJ87" s="42" t="n">
        <f aca="false">Tasks[[#This Row],[_LeafWork]]+Tasks[[#This Row],[_Res2Work]]+Tasks[[#This Row],[_Res3Work]]+Tasks[[#This Row],[_Res4Work]]</f>
        <v>0</v>
      </c>
      <c r="EK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7" s="42" t="n">
        <f aca="false">IF(NOT(Tasks[[#This Row],[_IsLeaf]]=1),0,MAX(_xlfn.MAXIFS(Tasks[_Row],Tasks[_Pred1UID],Tasks[[#This Row],[UID]]),_xlfn.MAXIFS(Tasks[_Row],Tasks[_Pred2UID],Tasks[[#This Row],[UID]]),_xlfn.MAXIFS(Tasks[_Row],Tasks[_Pred3UID],Tasks[[#This Row],[UID]]),_xlfn.MAXIFS(Tasks[_Row],Tasks[_Pred4UID],Tasks[[#This Row],[UID]])))</f>
        <v>0</v>
      </c>
      <c r="ET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7" s="89" t="str">
        <f aca="false">IF(NOT(Tasks[[#This Row],[_IsLeaf]]=1),"",IF(N(Tasks[[#This Row],[_Days]])&lt;=0,Tasks[[#This Row],[_LeafLateFinish]],WORKDAY.INTL(Tasks[[#This Row],[_LeafLateFinish]],-(Tasks[[#This Row],[_Days]]-1),WorkWeek,Holidays)))</f>
        <v/>
      </c>
      <c r="EW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7" s="88" t="b">
        <f aca="false">AND(Tasks[[#This Row],[_IsLeaf]]=1,Tasks[[#This Row],[_LeafProgress]]&lt;1,N(Tasks[[#This Row],[_LeafTotalSlack]])&lt;=CriticalSlackDays)</f>
        <v>0</v>
      </c>
      <c r="EY87" s="42" t="n">
        <f aca="false">IF(AND(Tasks[[#This Row],[_IsLeaf]]=1,Tasks[[#This Row],[_ConstraintCode]]=1,Tasks[[#This Row],[Mode]]&lt;&gt;"Manual",N(Tasks[[#This Row],[Actual Start]])=0),MAX(0,N(Tasks[[#This Row],[Free Slack]])),0)</f>
        <v>0</v>
      </c>
      <c r="EZ87" s="89" t="str">
        <f aca="false">IF(NOT(Tasks[[#This Row],[_IsLeaf]]=1),"",IF(Tasks[[#This Row],[_AlapShift]]=0,Tasks[[#This Row],[_LeafCalcStart]],WORKDAY.INTL(Tasks[[#This Row],[_LeafCalcStart]],Tasks[[#This Row],[_AlapShift]],WorkWeek,Holidays)))</f>
        <v/>
      </c>
      <c r="FA87" s="89" t="str">
        <f aca="false">IF(NOT(Tasks[[#This Row],[_IsLeaf]]=1),"",IF(Tasks[[#This Row],[_AlapShift]]=0,Tasks[[#This Row],[_LeafCalcFinish]],WORKDAY.INTL(Tasks[[#This Row],[_LeafCalcFinish]],Tasks[[#This Row],[_AlapShift]],WorkWeek,Holidays)))</f>
        <v/>
      </c>
      <c r="FB87" s="89" t="str">
        <f aca="false">IF(NOT(Tasks[[#This Row],[_IsLeaf]]=1),"",IF(Tasks[[#This Row],[_AlapShift]]=0,Tasks[[#This Row],[_LeafFcstStart]],WORKDAY.INTL(Tasks[[#This Row],[_LeafFcstStart]],Tasks[[#This Row],[_AlapShift]],WorkWeek,Holidays)))</f>
        <v/>
      </c>
      <c r="FC87" s="89" t="str">
        <f aca="false">IF(NOT(Tasks[[#This Row],[_IsLeaf]]=1),"",IF(Tasks[[#This Row],[_AlapShift]]=0,Tasks[[#This Row],[_LeafFcstFinish]],WORKDAY.INTL(Tasks[[#This Row],[_LeafFcstFinish]],Tasks[[#This Row],[_AlapShift]],WorkWeek,Holidays)))</f>
        <v/>
      </c>
      <c r="FD87" s="89" t="str">
        <f aca="false">IF(Tasks[[#This Row],[Task Name]]="","",IF(Tasks[[#This Row],[_IsSummary]],MIN(INDEX(Tasks[_ShownCalcStart],Tasks[[#This Row],[_Row]]+1):INDEX(Tasks[_ShownCalcStart],Tasks[[#This Row],[_Row]]+Tasks[[#This Row],[_Descendants]])),Tasks[[#This Row],[_ShownCalcStart]]))</f>
        <v/>
      </c>
      <c r="FE87" s="89" t="str">
        <f aca="false">IF(Tasks[[#This Row],[Task Name]]="","",IF(Tasks[[#This Row],[_IsSummary]],MAX(INDEX(Tasks[_ShownCalcFinish],Tasks[[#This Row],[_Row]]+1):INDEX(Tasks[_ShownCalcFinish],Tasks[[#This Row],[_Row]]+Tasks[[#This Row],[_Descendants]])),Tasks[[#This Row],[_ShownCalcFinish]]))</f>
        <v/>
      </c>
      <c r="FF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7" s="42" t="n">
        <f aca="false">IF(AND(Tasks[[#This Row],[_IsLeaf]]=1,Tasks[[#This Row],[_LeafTotalWork]]&gt;0),NETWORKDAYS.INTL(ProjectStart,Tasks[[#This Row],[_ShownFcstStart]],WorkWeek,Holidays),0)</f>
        <v>0</v>
      </c>
      <c r="FS87" s="42" t="n">
        <f aca="false">IF(AND(Tasks[[#This Row],[_IsLeaf]]=1,Tasks[[#This Row],[_LeafTotalWork]]&gt;0),MAX(Tasks[[#This Row],[_StartWorkday]],NETWORKDAYS.INTL(ProjectStart,Tasks[[#This Row],[_ShownFcstFinish]],WorkWeek,Holidays)),0)</f>
        <v>0</v>
      </c>
      <c r="FT87" s="42" t="n">
        <f aca="false">IF(AND(Tasks[[#This Row],[_IsLeaf]]=1,Tasks[[#This Row],[_LeafTotalWork]]&gt;0),Tasks[[#This Row],[_LeafWork]]/(Tasks[[#This Row],[_FinishWorkday]]-Tasks[[#This Row],[_StartWorkday]]+1),0)</f>
        <v>0</v>
      </c>
      <c r="FU87" s="42" t="n">
        <f aca="false">Tasks[[#This Row],[_WorkPerWorkday]]*(Tasks[[#This Row],[_StartWorkday]]-1)</f>
        <v>-0</v>
      </c>
      <c r="FV87" s="42" t="n">
        <f aca="false">IF(Tasks[[#This Row],[_IsLeaf]]=1,MAX(N(Tasks[[#This Row],[_Days]]),0.1),0)</f>
        <v>0</v>
      </c>
      <c r="FW87" s="42" t="n">
        <f aca="false">Tasks[[#This Row],[_WeightDur]]*Tasks[[#This Row],[_LeafProgress]]</f>
        <v>0</v>
      </c>
      <c r="FX87" s="42" t="n">
        <f aca="false">Tasks[[#This Row],[_WeightDur]]*Tasks[[#This Row],[_PlannedPct]]</f>
        <v>0</v>
      </c>
      <c r="FY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7" s="42" t="str">
        <f aca="false">IF(AND(Tasks[[#This Row],[_IsLeaf]]=1,N(Tasks[[#This Row],[_Days]])=0,Tasks[[#This Row],[_LeafProgress]]&lt;1),Tasks[[#This Row],[_ShownFcstFinish]]+Tasks[[#This Row],[_Row]]/100000,"")</f>
        <v/>
      </c>
      <c r="GA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7" s="42" t="str">
        <f aca="false">IF(Tasks[[#This Row],[Task Name]]="","",LEFT(Tasks[[#This Row],[WBS]],FIND(".",Tasks[[#This Row],[WBS]]&amp;".")-1))</f>
        <v/>
      </c>
      <c r="GC87" s="42" t="str">
        <f aca="false">IF(AND(Tasks[[#This Row],[Task Name]]&lt;&gt;"",Tasks[[#This Row],[_Level]]=1),Tasks[[#This Row],[_Row]],"")</f>
        <v/>
      </c>
      <c r="GD87" s="42" t="str">
        <f aca="false">IF(AND(Tasks[[#This Row],[_IsLeaf]]=1,N(Tasks[[#This Row],[_Days]])=0),Tasks[[#This Row],[Planned Finish]]+Tasks[[#This Row],[_Row]]/100000,"")</f>
        <v/>
      </c>
      <c r="GE87" s="42" t="str">
        <f aca="false">IF(AND(Tasks[[#This Row],[_IsLeaf]]=1,Tasks[[#This Row],[_LeafProgress]]&lt;1,OR(N(Tasks[[#This Row],[Finish Var]])&gt;0,Tasks[[#This Row],[Status]]="Late Start")),MAX(0,Tasks[[#This Row],[Finish Var]])+1-Tasks[[#This Row],[_Row]]/1000000,"")</f>
        <v/>
      </c>
      <c r="GF87" s="42" t="str">
        <f aca="false">IF(AND(Tasks[[#This Row],[_IsLeaf]]=1,N(Tasks[[#This Row],[Actual Start]])=0,Tasks[[#This Row],[_ShownFcstStart]]&gt;=StatusDate,Tasks[[#This Row],[_ShownFcstStart]]&lt;=LookaheadEnd),Tasks[[#This Row],[_ShownFcstStart]]+Tasks[[#This Row],[_Row]]/100000,"")</f>
        <v/>
      </c>
      <c r="GG87" s="42" t="str">
        <f aca="false">IF(AND(Tasks[[#This Row],[_IsLeaf]]=1,Tasks[[#This Row],[_LeafProgress]]&lt;1,Tasks[[#This Row],[_ShownFcstFinish]]&gt;=StatusDate,Tasks[[#This Row],[_ShownFcstFinish]]&lt;=LookaheadEnd),Tasks[[#This Row],[_ShownFcstFinish]]+Tasks[[#This Row],[_Row]]/100000,"")</f>
        <v/>
      </c>
      <c r="GH87" s="42" t="str">
        <f aca="false">IF(Tasks[[#This Row],[_LeafCritical]],Tasks[[#This Row],[_ShownFcstStart]]+Tasks[[#This Row],[_Row]]/100000,"")</f>
        <v/>
      </c>
      <c r="GI87" s="42" t="n">
        <f aca="false">Tasks[[#This Row],[_LeafWork]]*Tasks[[#This Row],[_LeafProgress]]</f>
        <v>0</v>
      </c>
      <c r="GJ87" s="89" t="str">
        <f aca="false">IF(AND(Tasks[[#This Row],[_IsLeaf]]=1,Tasks[[#This Row],[_LeafProgress]]&gt;=1),IF(N(Tasks[[#This Row],[Actual Finish]])&gt;0,Tasks[[#This Row],[Actual Finish]],Tasks[[#This Row],[_ShownFcstFinish]]),"")</f>
        <v/>
      </c>
      <c r="GK87" s="42" t="n">
        <f aca="false">IF(Tasks[[#This Row],[_IsLeaf]]=1,N(Tasks[[#This Row],[Story Points]]),0)</f>
        <v>0</v>
      </c>
      <c r="GL87" s="42" t="str">
        <f aca="false">""</f>
        <v/>
      </c>
      <c r="GM87" s="88" t="b">
        <f aca="false">IF(Tasks[[#This Row],[Task Name]]="",FALSE(),AND(Tasks[[#This Row],[_IsLeaf]]=1,N(Tasks[[#This Row],[_Days]])=0))</f>
        <v>0</v>
      </c>
      <c r="GN87" s="89" t="n">
        <f aca="false">IF(Tasks[[#This Row],[Task Name]]="",0,IF(AND(Tasks[[#This Row],[_IsLeaf]]=1,NOT(Tasks[[#This Row],[_IsMilestone]]),N(Tasks[[#This Row],[Progress]])&gt;0),Tasks[[#This Row],[Start]],0))</f>
        <v>0</v>
      </c>
      <c r="GO87" s="89" t="n">
        <f aca="false">IF(Tasks[[#This Row],[_DoneFrom]]=0,0,IF(Tasks[[#This Row],[Progress]]&gt;=1,Tasks[[#This Row],[Finish]],MAX(Tasks[[#This Row],[_DoneFrom]],Tasks[[#This Row],[Start]]+ROUND((Tasks[[#This Row],[Finish]]-Tasks[[#This Row],[Start]]+1)*Tasks[[#This Row],[Progress]],0)-1)))</f>
        <v>0</v>
      </c>
      <c r="GP87" s="89" t="n">
        <f aca="false">IF(Tasks[[#This Row],[Task Name]]="",0,IF(OR(NOT(Tasks[[#This Row],[_IsLeaf]]=1),Tasks[[#This Row],[_IsMilestone]],N(Tasks[[#This Row],[Progress]])&gt;=1),0,IF(Tasks[[#This Row],[_DoneTo]]&gt;0,Tasks[[#This Row],[_DoneTo]]+1,Tasks[[#This Row],[Start]])))</f>
        <v>0</v>
      </c>
      <c r="GQ87" s="89" t="n">
        <f aca="false">IF(Tasks[[#This Row],[_RemFrom]]=0,0,Tasks[[#This Row],[Finish]])</f>
        <v>0</v>
      </c>
      <c r="GR87" s="88" t="b">
        <f aca="false">IF(Tasks[[#This Row],[Task Name]]="",FALSE(),OR(NOT(BaselineSet),N(Tasks[[#This Row],[Baseline Start]])&gt;0))</f>
        <v>0</v>
      </c>
      <c r="GS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7" s="90" t="str">
        <f aca="false">IF(Tasks[[#This Row],[_IsLeaf]]=1,Tasks[[#This Row],[_Row]],"")</f>
        <v/>
      </c>
      <c r="GW87" s="90" t="str">
        <f aca="false">IFERROR(INDEX(Tasks[UID],SMALL(Tasks[_PickKey],Tasks[[#This Row],[_Row]]))&amp;" "&amp;INDEX(Tasks[Task Name],SMALL(Tasks[_PickKey],Tasks[[#This Row],[_Row]])),"")</f>
        <v/>
      </c>
      <c r="GX87" s="42" t="str">
        <f aca="false">IF(Tasks[[#This Row],[Task Name]]="","",IF(Tasks[[#This Row],[_IsSummary]],NETWORKDAYS.INTL(Tasks[[#This Row],[Start]],Tasks[[#This Row],[Finish]],WorkWeek,Holidays),N(Tasks[[#This Row],[_Days]])))</f>
        <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3"/>
      <c r="U88" s="23"/>
      <c r="V88" s="83"/>
      <c r="W88" s="23"/>
      <c r="X88" s="83"/>
      <c r="Y88" s="23"/>
      <c r="Z88" s="83"/>
      <c r="AA88" s="23"/>
      <c r="AB88" s="23"/>
      <c r="AC88" s="7"/>
      <c r="AD88" s="7"/>
      <c r="AE88" s="62" t="str">
        <f aca="false">IF(Tasks[[#This Row],[Task Name]]="","",IF(Tasks[[#This Row],[_IsSummary]],MIN(INDEX(Tasks[_ShownFcstStart],Tasks[[#This Row],[_Row]]+1):INDEX(Tasks[_ShownFcstStart],Tasks[[#This Row],[_Row]]+Tasks[[#This Row],[_Descendants]])),Tasks[[#This Row],[_ShownFcstStart]]))</f>
        <v/>
      </c>
      <c r="AF88" s="62"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8" s="7"/>
      <c r="AK88" s="22"/>
      <c r="AL88" s="23"/>
      <c r="AM88" s="7"/>
      <c r="AN88" s="46"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2" t="str">
        <f aca="false">IF(Tasks[[#This Row],[Task Name]]="","",IF(N(Tasks[[#This Row],[Baseline Start]])&gt;0,Tasks[[#This Row],[Baseline Start]],Tasks[[#This Row],[_CalcStart]]))</f>
        <v/>
      </c>
      <c r="AR88" s="62" t="str">
        <f aca="false">IF(Tasks[[#This Row],[Task Name]]="","",IF(N(Tasks[[#This Row],[Baseline Finish]])&gt;0,Tasks[[#This Row],[Baseline Finish]],Tasks[[#This Row],[_CalcFinish]]))</f>
        <v/>
      </c>
      <c r="AS88" s="46" t="str">
        <f aca="false">IF(Tasks[[#This Row],[Task Name]]="","",IF(Tasks[[#This Row],[Start]]&gt;=Tasks[[#This Row],[Planned Start]],NETWORKDAYS.INTL(Tasks[[#This Row],[Planned Start]],Tasks[[#This Row],[Start]],WorkWeek,Holidays)-1,1-NETWORKDAYS.INTL(Tasks[[#This Row],[Start]],Tasks[[#This Row],[Planned Start]],WorkWeek,Holidays)))</f>
        <v/>
      </c>
      <c r="AT88" s="62" t="str">
        <f aca="false">IF(Tasks[[#This Row],[Task Name]]="","",IF(Tasks[[#This Row],[_IsSummary]],MIN(INDEX(Tasks[_LeafLateStart],Tasks[[#This Row],[_Row]]+1):INDEX(Tasks[_LeafLateStart],Tasks[[#This Row],[_Row]]+Tasks[[#This Row],[_Descendants]])),Tasks[[#This Row],[_LeafLateStart]]))</f>
        <v/>
      </c>
      <c r="AU88" s="62" t="str">
        <f aca="false">IF(Tasks[[#This Row],[Task Name]]="","",IF(Tasks[[#This Row],[_IsSummary]],MAX(INDEX(Tasks[_LeafLateFinish],Tasks[[#This Row],[_Row]]+1):INDEX(Tasks[_LeafLateFinish],Tasks[[#This Row],[_Row]]+Tasks[[#This Row],[_Descendants]])),Tasks[[#This Row],[_LeafLateFinish]]))</f>
        <v/>
      </c>
      <c r="AV88" s="46"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4"/>
      <c r="BA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5"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6"/>
      <c r="BJ88" s="22"/>
      <c r="BK88" s="46" t="str">
        <f aca="false">IF(OR(Tasks[[#This Row],[Task Name]]="",Tasks[[#This Row],[Baseline Duration]]=""),"",Tasks[[#This Row],[_SpanDays]]-N(Tasks[[#This Row],[Baseline Duration]]))</f>
        <v/>
      </c>
      <c r="BL88" s="85" t="str">
        <f aca="false">IF(OR(Tasks[[#This Row],[Task Name]]="",Tasks[[#This Row],[Baseline Work]]=""),"",Tasks[[#This Row],[Work]]-N(Tasks[[#This Row],[Baseline Work]]))</f>
        <v/>
      </c>
      <c r="BM88" s="62" t="str">
        <f aca="false">IF(Tasks[[#This Row],[Task Name]]="","",IF(OR(TakeBaseline="Yes",N(Tasks[[#This Row],[Baseline Start]])=0),Tasks[[#This Row],[Start]],Tasks[[#This Row],[Baseline Start]]))</f>
        <v/>
      </c>
      <c r="BN88" s="62"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5" t="str">
        <f aca="false">IF(Tasks[[#This Row],[Task Name]]="","",IF(OR(TakeBaseline="Yes",N(Tasks[[#This Row],[Baseline Work]])=0),Tasks[[#This Row],[Work]],Tasks[[#This Row],[Baseline Work]]))</f>
        <v/>
      </c>
      <c r="BQ88" s="7"/>
      <c r="BR88" s="7"/>
      <c r="BS88" s="22"/>
      <c r="BT88" s="87"/>
      <c r="BU88" s="42" t="str">
        <f aca="false">IF(Tasks[[#This Row],[Task Name]]="","",MAX(1,N(Tasks[[#This Row],[Level]])))</f>
        <v/>
      </c>
      <c r="BV88" s="42" t="n">
        <f aca="false">ROW()-ROW(Tasks[[#Headers],[ID]])</f>
        <v>83</v>
      </c>
      <c r="BW88" s="42" t="n">
        <f aca="false">IF(OR(Tasks[[#This Row],[Task Name]]="",Tasks[[#This Row],[_Level]]&lt;=1),0,IFERROR(LOOKUP(2,1/(Tasks[[#Headers],[_Level]]:Tasks[[#This Row],[_Level]]=Tasks[[#This Row],[_Level]]-1),ROW(Tasks[[#Headers],[_Level]]:Tasks[[#This Row],[_Level]])),0))</f>
        <v>0</v>
      </c>
      <c r="BX88" s="42" t="n">
        <f aca="false">IFERROR(N(INDEX(Tasks[_Level],Tasks[[#This Row],[_Row]]+1)),0)</f>
        <v>0</v>
      </c>
      <c r="BY88" s="88" t="b">
        <f aca="false">AND(Tasks[[#This Row],[Task Name]]&lt;&gt;"",Tasks[[#This Row],[_NextLevel]]&gt;Tasks[[#This Row],[_Level]])</f>
        <v>0</v>
      </c>
      <c r="BZ88" s="42" t="n">
        <f aca="false">IF(Tasks[[#This Row],[_IsSummary]],COUNTIF(Tasks[WBS],Tasks[[#This Row],[WBS]]&amp;".*"),0)</f>
        <v>0</v>
      </c>
      <c r="CA88" s="42" t="n">
        <f aca="false">IF(AND(Tasks[[#This Row],[Task Name]]&lt;&gt;"",NOT(Tasks[[#This Row],[_IsSummary]])),1,0)</f>
        <v>0</v>
      </c>
      <c r="CB88" s="42" t="n">
        <f aca="false">IF(N(Tasks[[#This Row],[_Pred1UID]])=0,0,IFERROR(MATCH(Tasks[[#This Row],[_Pred1UID]],Tasks[UID],0),-1))</f>
        <v>0</v>
      </c>
      <c r="CC88" s="42" t="n">
        <f aca="false">IF(N(Tasks[[#This Row],[_Pred2UID]])=0,0,IFERROR(MATCH(Tasks[[#This Row],[_Pred2UID]],Tasks[UID],0),-1))</f>
        <v>0</v>
      </c>
      <c r="CD88" s="42" t="n">
        <f aca="false">IF(N(Tasks[[#This Row],[_Pred3UID]])=0,0,IFERROR(MATCH(Tasks[[#This Row],[_Pred3UID]],Tasks[UID],0),-1))</f>
        <v>0</v>
      </c>
      <c r="CE88" s="42" t="n">
        <f aca="false">IF(N(Tasks[[#This Row],[_Pred4UID]])=0,0,IFERROR(MATCH(Tasks[[#This Row],[_Pred4UID]],Tasks[UID],0),-1))</f>
        <v>0</v>
      </c>
      <c r="CF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8" s="89" t="n">
        <f aca="false">IF(OR(Tasks[[#This Row],[_ConstraintCode]]=2,Tasks[[#This Row],[_ConstraintCode]]=3,Tasks[[#This Row],[_ConstraintCode]]=4,Tasks[[#This Row],[_ConstraintCode]]=6),Tasks[[#This Row],[_ConstraintStart]],0)</f>
        <v>0</v>
      </c>
      <c r="CI88" s="89" t="n">
        <f aca="false">IF(OR(Tasks[[#This Row],[_ConstraintCode]]=2,Tasks[[#This Row],[_ConstraintCode]]=3,Tasks[[#This Row],[_ConstraintCode]]=5,Tasks[[#This Row],[_ConstraintCode]]=7),Tasks[[#This Row],[_ConstraintStart]],2958465)</f>
        <v>2958465</v>
      </c>
      <c r="CJ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8" s="89" t="str">
        <f aca="false">IF(NOT(Tasks[[#This Row],[_IsLeaf]]=1),"",IF(N(Tasks[[#This Row],[_Days]])&lt;=0,Tasks[[#This Row],[_LeafCalcStart]],WORKDAY.INTL(Tasks[[#This Row],[_LeafCalcStart]],Tasks[[#This Row],[_Days]]-1,WorkWeek,Holidays)))</f>
        <v/>
      </c>
      <c r="CL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8" s="42" t="str">
        <f aca="false">IF(Tasks[[#This Row],[_Predecessors]]="","",TRIM(MID(SUBSTITUTE(SUBSTITUTE(SUBSTITUTE(UPPER(Tasks[[#This Row],[_Predecessors]]),";",",")," ",""),",",REPT(" ",99)),1,99)))</f>
        <v/>
      </c>
      <c r="CO88" s="42" t="str">
        <f aca="false">IF(Tasks[[#This Row],[_Pred1Text]]="","",IFERROR(VALUE(LEFT(Tasks[[#This Row],[_Pred1Text]],MIN(FIND("F",Tasks[[#This Row],[_Pred1Text]]&amp;"F"),FIND("S",Tasks[[#This Row],[_Pred1Text]]&amp;"S"),FIND("+",Tasks[[#This Row],[_Pred1Text]]&amp;"+"),FIND("-",Tasks[[#This Row],[_Pred1Text]]&amp;"-"))-1)),""))</f>
        <v/>
      </c>
      <c r="CP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8" s="42" t="str">
        <f aca="false">IF(Tasks[[#This Row],[_Pred1Text]]="","",TRIM(MID(SUBSTITUTE(SUBSTITUTE(SUBSTITUTE(UPPER(Tasks[[#This Row],[_Predecessors]]),";",",")," ",""),",",REPT(" ",99)),100,99)))</f>
        <v/>
      </c>
      <c r="CS88" s="42" t="str">
        <f aca="false">IF(Tasks[[#This Row],[_Pred2Text]]="","",IFERROR(VALUE(LEFT(Tasks[[#This Row],[_Pred2Text]],MIN(FIND("F",Tasks[[#This Row],[_Pred2Text]]&amp;"F"),FIND("S",Tasks[[#This Row],[_Pred2Text]]&amp;"S"),FIND("+",Tasks[[#This Row],[_Pred2Text]]&amp;"+"),FIND("-",Tasks[[#This Row],[_Pred2Text]]&amp;"-"))-1)),""))</f>
        <v/>
      </c>
      <c r="CT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8" s="42" t="str">
        <f aca="false">IF(Tasks[[#This Row],[_Pred2Text]]="","",TRIM(MID(SUBSTITUTE(SUBSTITUTE(SUBSTITUTE(UPPER(Tasks[[#This Row],[_Predecessors]]),";",",")," ",""),",",REPT(" ",99)),199,99)))</f>
        <v/>
      </c>
      <c r="CW88" s="42" t="str">
        <f aca="false">IF(Tasks[[#This Row],[_Pred3Text]]="","",IFERROR(VALUE(LEFT(Tasks[[#This Row],[_Pred3Text]],MIN(FIND("F",Tasks[[#This Row],[_Pred3Text]]&amp;"F"),FIND("S",Tasks[[#This Row],[_Pred3Text]]&amp;"S"),FIND("+",Tasks[[#This Row],[_Pred3Text]]&amp;"+"),FIND("-",Tasks[[#This Row],[_Pred3Text]]&amp;"-"))-1)),""))</f>
        <v/>
      </c>
      <c r="CX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8" s="42" t="str">
        <f aca="false">IF(Tasks[[#This Row],[_Pred3Text]]="","",TRIM(MID(SUBSTITUTE(SUBSTITUTE(SUBSTITUTE(UPPER(Tasks[[#This Row],[_Predecessors]]),";",",")," ",""),",",REPT(" ",99)),298,99)))</f>
        <v/>
      </c>
      <c r="DA88" s="42" t="str">
        <f aca="false">IF(Tasks[[#This Row],[_Pred4Text]]="","",IFERROR(VALUE(LEFT(Tasks[[#This Row],[_Pred4Text]],MIN(FIND("F",Tasks[[#This Row],[_Pred4Text]]&amp;"F"),FIND("S",Tasks[[#This Row],[_Pred4Text]]&amp;"S"),FIND("+",Tasks[[#This Row],[_Pred4Text]]&amp;"+"),FIND("-",Tasks[[#This Row],[_Pred4Text]]&amp;"-"))-1)),""))</f>
        <v/>
      </c>
      <c r="DB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8" s="42" t="str">
        <f aca="false">IF(OR(Tasks[[#This Row],[Task Name]]="",Tasks[[#This Row],[_Resources]]=""),"",TRIM(MID(SUBSTITUTE(Tasks[[#This Row],[_Resources]],",",REPT(" ",99)),1,99)))</f>
        <v/>
      </c>
      <c r="DE88" s="42" t="str">
        <f aca="false">IF(Tasks[[#This Row],[_Res1Text]]="","",TRIM(MID(SUBSTITUTE(Tasks[[#This Row],[_Resources]],",",REPT(" ",99)),100,99)))</f>
        <v/>
      </c>
      <c r="DF88" s="42" t="str">
        <f aca="false">IF(Tasks[[#This Row],[_Res2Text]]="","",TRIM(MID(SUBSTITUTE(Tasks[[#This Row],[_Resources]],",",REPT(" ",99)),199,99)))</f>
        <v/>
      </c>
      <c r="DG88" s="42" t="str">
        <f aca="false">IF(Tasks[[#This Row],[_Res3Text]]="","",TRIM(MID(SUBSTITUTE(Tasks[[#This Row],[_Resources]],",",REPT(" ",99)),298,99)))</f>
        <v/>
      </c>
      <c r="DH88" s="42" t="n">
        <f aca="false">IF(Tasks[[#This Row],[_Res1Text]]="",0,IFERROR(MATCH(TRIM(LEFT(Tasks[[#This Row],[_Res1Text]],FIND("[",Tasks[[#This Row],[_Res1Text]]&amp;"[")-1)),res_Name,0),IFERROR(MATCH(TRIM(LEFT(Tasks[[#This Row],[_Res1Text]],FIND("[",Tasks[[#This Row],[_Res1Text]]&amp;"[")-1)),res_Initials,0),0)))</f>
        <v>0</v>
      </c>
      <c r="DI88" s="42" t="n">
        <f aca="false">IF(Tasks[[#This Row],[_Res2Text]]="",0,IFERROR(MATCH(TRIM(LEFT(Tasks[[#This Row],[_Res2Text]],FIND("[",Tasks[[#This Row],[_Res2Text]]&amp;"[")-1)),res_Name,0),IFERROR(MATCH(TRIM(LEFT(Tasks[[#This Row],[_Res2Text]],FIND("[",Tasks[[#This Row],[_Res2Text]]&amp;"[")-1)),res_Initials,0),0)))</f>
        <v>0</v>
      </c>
      <c r="DJ88" s="42" t="n">
        <f aca="false">IF(Tasks[[#This Row],[_Res3Text]]="",0,IFERROR(MATCH(TRIM(LEFT(Tasks[[#This Row],[_Res3Text]],FIND("[",Tasks[[#This Row],[_Res3Text]]&amp;"[")-1)),res_Name,0),IFERROR(MATCH(TRIM(LEFT(Tasks[[#This Row],[_Res3Text]],FIND("[",Tasks[[#This Row],[_Res3Text]]&amp;"[")-1)),res_Initials,0),0)))</f>
        <v>0</v>
      </c>
      <c r="DK88" s="42" t="n">
        <f aca="false">IF(Tasks[[#This Row],[_Res4Text]]="",0,IFERROR(MATCH(TRIM(LEFT(Tasks[[#This Row],[_Res4Text]],FIND("[",Tasks[[#This Row],[_Res4Text]]&amp;"[")-1)),res_Name,0),IFERROR(MATCH(TRIM(LEFT(Tasks[[#This Row],[_Res4Text]],FIND("[",Tasks[[#This Row],[_Res4Text]]&amp;"[")-1)),res_Initials,0),0)))</f>
        <v>0</v>
      </c>
      <c r="DL88" s="42" t="str">
        <f aca="false">IF(Tasks[[#This Row],[_Res1Text]]="","",IF(Tasks[[#This Row],[_Res1Row]]&gt;0,INDEX(res_Name,Tasks[[#This Row],[_Res1Row]]),TRIM(LEFT(Tasks[[#This Row],[_Res1Text]],FIND("[",Tasks[[#This Row],[_Res1Text]]&amp;"[")-1))))</f>
        <v/>
      </c>
      <c r="DM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8" s="42" t="n">
        <f aca="false">IF(NOT(Tasks[[#This Row],[_IsLeaf]]=1),0,(Tasks[[#This Row],[_Resource1]]&lt;&gt;"")+(Tasks[[#This Row],[_Res2]]&lt;&gt;"")+(Tasks[[#This Row],[_Res3]]&lt;&gt;"")+(Tasks[[#This Row],[_Res4]]&lt;&gt;""))</f>
        <v>0</v>
      </c>
      <c r="DO88" s="42" t="str">
        <f aca="false">IF(Tasks[[#This Row],[_Res2Text]]="","",IF(Tasks[[#This Row],[_Res2Row]]&gt;0,INDEX(res_Name,Tasks[[#This Row],[_Res2Row]]),TRIM(LEFT(Tasks[[#This Row],[_Res2Text]],FIND("[",Tasks[[#This Row],[_Res2Text]]&amp;"[")-1))))</f>
        <v/>
      </c>
      <c r="DP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8" s="42" t="n">
        <f aca="false">IF(OR(NOT(Tasks[[#This Row],[_IsLeaf]]=1),Tasks[[#This Row],[_Res2Row]]=0),0,N(Tasks[[#This Row],[_Days]])*HoursPerDay*IF(Tasks[[#This Row],[_Res2Units]]="",DefaultUnits,Tasks[[#This Row],[_Res2Units]]))</f>
        <v>0</v>
      </c>
      <c r="DR88" s="42" t="n">
        <f aca="false">IF(AND(AND(Tasks[[#This Row],[_IsLeaf]]=1,Tasks[[#This Row],[_LeafTotalWork]]&gt;0),Tasks[[#This Row],[_Res2Work]]&gt;0),Tasks[[#This Row],[_Res2Work]]/(Tasks[[#This Row],[_FinishWorkday]]-Tasks[[#This Row],[_StartWorkday]]+1),0)</f>
        <v>0</v>
      </c>
      <c r="DS88" s="42" t="n">
        <f aca="false">Tasks[[#This Row],[_Res2WorkPerWD]]*MAX(0,Tasks[[#This Row],[_StartWorkday]]-1)</f>
        <v>0</v>
      </c>
      <c r="DT88" s="42" t="n">
        <f aca="false">Tasks[[#This Row],[_Res2Work]]*Tasks[[#This Row],[_LeafProgress]]</f>
        <v>0</v>
      </c>
      <c r="DU88" s="42" t="str">
        <f aca="false">IF(Tasks[[#This Row],[_Res3Text]]="","",IF(Tasks[[#This Row],[_Res3Row]]&gt;0,INDEX(res_Name,Tasks[[#This Row],[_Res3Row]]),TRIM(LEFT(Tasks[[#This Row],[_Res3Text]],FIND("[",Tasks[[#This Row],[_Res3Text]]&amp;"[")-1))))</f>
        <v/>
      </c>
      <c r="DV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8" s="42" t="n">
        <f aca="false">IF(OR(NOT(Tasks[[#This Row],[_IsLeaf]]=1),Tasks[[#This Row],[_Res3Row]]=0),0,N(Tasks[[#This Row],[_Days]])*HoursPerDay*IF(Tasks[[#This Row],[_Res3Units]]="",DefaultUnits,Tasks[[#This Row],[_Res3Units]]))</f>
        <v>0</v>
      </c>
      <c r="DX88" s="42" t="n">
        <f aca="false">IF(AND(AND(Tasks[[#This Row],[_IsLeaf]]=1,Tasks[[#This Row],[_LeafTotalWork]]&gt;0),Tasks[[#This Row],[_Res3Work]]&gt;0),Tasks[[#This Row],[_Res3Work]]/(Tasks[[#This Row],[_FinishWorkday]]-Tasks[[#This Row],[_StartWorkday]]+1),0)</f>
        <v>0</v>
      </c>
      <c r="DY88" s="42" t="n">
        <f aca="false">Tasks[[#This Row],[_Res3WorkPerWD]]*MAX(0,Tasks[[#This Row],[_StartWorkday]]-1)</f>
        <v>0</v>
      </c>
      <c r="DZ88" s="42" t="n">
        <f aca="false">Tasks[[#This Row],[_Res3Work]]*Tasks[[#This Row],[_LeafProgress]]</f>
        <v>0</v>
      </c>
      <c r="EA88" s="42" t="str">
        <f aca="false">IF(Tasks[[#This Row],[_Res4Text]]="","",IF(Tasks[[#This Row],[_Res4Row]]&gt;0,INDEX(res_Name,Tasks[[#This Row],[_Res4Row]]),TRIM(LEFT(Tasks[[#This Row],[_Res4Text]],FIND("[",Tasks[[#This Row],[_Res4Text]]&amp;"[")-1))))</f>
        <v/>
      </c>
      <c r="EB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8" s="42" t="n">
        <f aca="false">IF(OR(NOT(Tasks[[#This Row],[_IsLeaf]]=1),Tasks[[#This Row],[_Res4Row]]=0),0,N(Tasks[[#This Row],[_Days]])*HoursPerDay*IF(Tasks[[#This Row],[_Res4Units]]="",DefaultUnits,Tasks[[#This Row],[_Res4Units]]))</f>
        <v>0</v>
      </c>
      <c r="ED88" s="42" t="n">
        <f aca="false">IF(AND(AND(Tasks[[#This Row],[_IsLeaf]]=1,Tasks[[#This Row],[_LeafTotalWork]]&gt;0),Tasks[[#This Row],[_Res4Work]]&gt;0),Tasks[[#This Row],[_Res4Work]]/(Tasks[[#This Row],[_FinishWorkday]]-Tasks[[#This Row],[_StartWorkday]]+1),0)</f>
        <v>0</v>
      </c>
      <c r="EE88" s="42" t="n">
        <f aca="false">Tasks[[#This Row],[_Res4WorkPerWD]]*MAX(0,Tasks[[#This Row],[_StartWorkday]]-1)</f>
        <v>0</v>
      </c>
      <c r="EF88" s="42" t="n">
        <f aca="false">Tasks[[#This Row],[_Res4Work]]*Tasks[[#This Row],[_LeafProgress]]</f>
        <v>0</v>
      </c>
      <c r="EG88" s="42" t="n">
        <f aca="false">IF(ISNUMBER(Tasks[[#This Row],[% Complete]]),Tasks[[#This Row],[% Complete]],IF(Tasks[[#This Row],[Stage]]="",0,IFERROR(INDEX(stg_Pct,MATCH(Tasks[[#This Row],[Stage]],stg_Name,0)),0)))</f>
        <v>0</v>
      </c>
      <c r="EH88" s="42" t="n">
        <f aca="false">IF(NOT(Tasks[[#This Row],[_IsLeaf]]=1),0,IF(N(Tasks[[#This Row],[Actual Finish]])&gt;0,1,MIN(1,Tasks[[#This Row],[_Pct]])))</f>
        <v>0</v>
      </c>
      <c r="EI88" s="42" t="n">
        <f aca="false">IF(OR(NOT(Tasks[[#This Row],[_IsLeaf]]=1),Tasks[[#This Row],[_Res1Row]]=0),0,N(Tasks[[#This Row],[_Days]])*HoursPerDay*IF(Tasks[[#This Row],[_Units1]]="",DefaultUnits,Tasks[[#This Row],[_Units1]]))</f>
        <v>0</v>
      </c>
      <c r="EJ88" s="42" t="n">
        <f aca="false">Tasks[[#This Row],[_LeafWork]]+Tasks[[#This Row],[_Res2Work]]+Tasks[[#This Row],[_Res3Work]]+Tasks[[#This Row],[_Res4Work]]</f>
        <v>0</v>
      </c>
      <c r="EK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8" s="42" t="n">
        <f aca="false">IF(NOT(Tasks[[#This Row],[_IsLeaf]]=1),0,MAX(_xlfn.MAXIFS(Tasks[_Row],Tasks[_Pred1UID],Tasks[[#This Row],[UID]]),_xlfn.MAXIFS(Tasks[_Row],Tasks[_Pred2UID],Tasks[[#This Row],[UID]]),_xlfn.MAXIFS(Tasks[_Row],Tasks[_Pred3UID],Tasks[[#This Row],[UID]]),_xlfn.MAXIFS(Tasks[_Row],Tasks[_Pred4UID],Tasks[[#This Row],[UID]])))</f>
        <v>0</v>
      </c>
      <c r="ET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8" s="89" t="str">
        <f aca="false">IF(NOT(Tasks[[#This Row],[_IsLeaf]]=1),"",IF(N(Tasks[[#This Row],[_Days]])&lt;=0,Tasks[[#This Row],[_LeafLateFinish]],WORKDAY.INTL(Tasks[[#This Row],[_LeafLateFinish]],-(Tasks[[#This Row],[_Days]]-1),WorkWeek,Holidays)))</f>
        <v/>
      </c>
      <c r="EW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8" s="88" t="b">
        <f aca="false">AND(Tasks[[#This Row],[_IsLeaf]]=1,Tasks[[#This Row],[_LeafProgress]]&lt;1,N(Tasks[[#This Row],[_LeafTotalSlack]])&lt;=CriticalSlackDays)</f>
        <v>0</v>
      </c>
      <c r="EY88" s="42" t="n">
        <f aca="false">IF(AND(Tasks[[#This Row],[_IsLeaf]]=1,Tasks[[#This Row],[_ConstraintCode]]=1,Tasks[[#This Row],[Mode]]&lt;&gt;"Manual",N(Tasks[[#This Row],[Actual Start]])=0),MAX(0,N(Tasks[[#This Row],[Free Slack]])),0)</f>
        <v>0</v>
      </c>
      <c r="EZ88" s="89" t="str">
        <f aca="false">IF(NOT(Tasks[[#This Row],[_IsLeaf]]=1),"",IF(Tasks[[#This Row],[_AlapShift]]=0,Tasks[[#This Row],[_LeafCalcStart]],WORKDAY.INTL(Tasks[[#This Row],[_LeafCalcStart]],Tasks[[#This Row],[_AlapShift]],WorkWeek,Holidays)))</f>
        <v/>
      </c>
      <c r="FA88" s="89" t="str">
        <f aca="false">IF(NOT(Tasks[[#This Row],[_IsLeaf]]=1),"",IF(Tasks[[#This Row],[_AlapShift]]=0,Tasks[[#This Row],[_LeafCalcFinish]],WORKDAY.INTL(Tasks[[#This Row],[_LeafCalcFinish]],Tasks[[#This Row],[_AlapShift]],WorkWeek,Holidays)))</f>
        <v/>
      </c>
      <c r="FB88" s="89" t="str">
        <f aca="false">IF(NOT(Tasks[[#This Row],[_IsLeaf]]=1),"",IF(Tasks[[#This Row],[_AlapShift]]=0,Tasks[[#This Row],[_LeafFcstStart]],WORKDAY.INTL(Tasks[[#This Row],[_LeafFcstStart]],Tasks[[#This Row],[_AlapShift]],WorkWeek,Holidays)))</f>
        <v/>
      </c>
      <c r="FC88" s="89" t="str">
        <f aca="false">IF(NOT(Tasks[[#This Row],[_IsLeaf]]=1),"",IF(Tasks[[#This Row],[_AlapShift]]=0,Tasks[[#This Row],[_LeafFcstFinish]],WORKDAY.INTL(Tasks[[#This Row],[_LeafFcstFinish]],Tasks[[#This Row],[_AlapShift]],WorkWeek,Holidays)))</f>
        <v/>
      </c>
      <c r="FD88" s="89" t="str">
        <f aca="false">IF(Tasks[[#This Row],[Task Name]]="","",IF(Tasks[[#This Row],[_IsSummary]],MIN(INDEX(Tasks[_ShownCalcStart],Tasks[[#This Row],[_Row]]+1):INDEX(Tasks[_ShownCalcStart],Tasks[[#This Row],[_Row]]+Tasks[[#This Row],[_Descendants]])),Tasks[[#This Row],[_ShownCalcStart]]))</f>
        <v/>
      </c>
      <c r="FE88" s="89" t="str">
        <f aca="false">IF(Tasks[[#This Row],[Task Name]]="","",IF(Tasks[[#This Row],[_IsSummary]],MAX(INDEX(Tasks[_ShownCalcFinish],Tasks[[#This Row],[_Row]]+1):INDEX(Tasks[_ShownCalcFinish],Tasks[[#This Row],[_Row]]+Tasks[[#This Row],[_Descendants]])),Tasks[[#This Row],[_ShownCalcFinish]]))</f>
        <v/>
      </c>
      <c r="FF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8" s="42" t="n">
        <f aca="false">IF(AND(Tasks[[#This Row],[_IsLeaf]]=1,Tasks[[#This Row],[_LeafTotalWork]]&gt;0),NETWORKDAYS.INTL(ProjectStart,Tasks[[#This Row],[_ShownFcstStart]],WorkWeek,Holidays),0)</f>
        <v>0</v>
      </c>
      <c r="FS88" s="42" t="n">
        <f aca="false">IF(AND(Tasks[[#This Row],[_IsLeaf]]=1,Tasks[[#This Row],[_LeafTotalWork]]&gt;0),MAX(Tasks[[#This Row],[_StartWorkday]],NETWORKDAYS.INTL(ProjectStart,Tasks[[#This Row],[_ShownFcstFinish]],WorkWeek,Holidays)),0)</f>
        <v>0</v>
      </c>
      <c r="FT88" s="42" t="n">
        <f aca="false">IF(AND(Tasks[[#This Row],[_IsLeaf]]=1,Tasks[[#This Row],[_LeafTotalWork]]&gt;0),Tasks[[#This Row],[_LeafWork]]/(Tasks[[#This Row],[_FinishWorkday]]-Tasks[[#This Row],[_StartWorkday]]+1),0)</f>
        <v>0</v>
      </c>
      <c r="FU88" s="42" t="n">
        <f aca="false">Tasks[[#This Row],[_WorkPerWorkday]]*(Tasks[[#This Row],[_StartWorkday]]-1)</f>
        <v>-0</v>
      </c>
      <c r="FV88" s="42" t="n">
        <f aca="false">IF(Tasks[[#This Row],[_IsLeaf]]=1,MAX(N(Tasks[[#This Row],[_Days]]),0.1),0)</f>
        <v>0</v>
      </c>
      <c r="FW88" s="42" t="n">
        <f aca="false">Tasks[[#This Row],[_WeightDur]]*Tasks[[#This Row],[_LeafProgress]]</f>
        <v>0</v>
      </c>
      <c r="FX88" s="42" t="n">
        <f aca="false">Tasks[[#This Row],[_WeightDur]]*Tasks[[#This Row],[_PlannedPct]]</f>
        <v>0</v>
      </c>
      <c r="FY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8" s="42" t="str">
        <f aca="false">IF(AND(Tasks[[#This Row],[_IsLeaf]]=1,N(Tasks[[#This Row],[_Days]])=0,Tasks[[#This Row],[_LeafProgress]]&lt;1),Tasks[[#This Row],[_ShownFcstFinish]]+Tasks[[#This Row],[_Row]]/100000,"")</f>
        <v/>
      </c>
      <c r="GA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8" s="42" t="str">
        <f aca="false">IF(Tasks[[#This Row],[Task Name]]="","",LEFT(Tasks[[#This Row],[WBS]],FIND(".",Tasks[[#This Row],[WBS]]&amp;".")-1))</f>
        <v/>
      </c>
      <c r="GC88" s="42" t="str">
        <f aca="false">IF(AND(Tasks[[#This Row],[Task Name]]&lt;&gt;"",Tasks[[#This Row],[_Level]]=1),Tasks[[#This Row],[_Row]],"")</f>
        <v/>
      </c>
      <c r="GD88" s="42" t="str">
        <f aca="false">IF(AND(Tasks[[#This Row],[_IsLeaf]]=1,N(Tasks[[#This Row],[_Days]])=0),Tasks[[#This Row],[Planned Finish]]+Tasks[[#This Row],[_Row]]/100000,"")</f>
        <v/>
      </c>
      <c r="GE88" s="42" t="str">
        <f aca="false">IF(AND(Tasks[[#This Row],[_IsLeaf]]=1,Tasks[[#This Row],[_LeafProgress]]&lt;1,OR(N(Tasks[[#This Row],[Finish Var]])&gt;0,Tasks[[#This Row],[Status]]="Late Start")),MAX(0,Tasks[[#This Row],[Finish Var]])+1-Tasks[[#This Row],[_Row]]/1000000,"")</f>
        <v/>
      </c>
      <c r="GF88" s="42" t="str">
        <f aca="false">IF(AND(Tasks[[#This Row],[_IsLeaf]]=1,N(Tasks[[#This Row],[Actual Start]])=0,Tasks[[#This Row],[_ShownFcstStart]]&gt;=StatusDate,Tasks[[#This Row],[_ShownFcstStart]]&lt;=LookaheadEnd),Tasks[[#This Row],[_ShownFcstStart]]+Tasks[[#This Row],[_Row]]/100000,"")</f>
        <v/>
      </c>
      <c r="GG88" s="42" t="str">
        <f aca="false">IF(AND(Tasks[[#This Row],[_IsLeaf]]=1,Tasks[[#This Row],[_LeafProgress]]&lt;1,Tasks[[#This Row],[_ShownFcstFinish]]&gt;=StatusDate,Tasks[[#This Row],[_ShownFcstFinish]]&lt;=LookaheadEnd),Tasks[[#This Row],[_ShownFcstFinish]]+Tasks[[#This Row],[_Row]]/100000,"")</f>
        <v/>
      </c>
      <c r="GH88" s="42" t="str">
        <f aca="false">IF(Tasks[[#This Row],[_LeafCritical]],Tasks[[#This Row],[_ShownFcstStart]]+Tasks[[#This Row],[_Row]]/100000,"")</f>
        <v/>
      </c>
      <c r="GI88" s="42" t="n">
        <f aca="false">Tasks[[#This Row],[_LeafWork]]*Tasks[[#This Row],[_LeafProgress]]</f>
        <v>0</v>
      </c>
      <c r="GJ88" s="89" t="str">
        <f aca="false">IF(AND(Tasks[[#This Row],[_IsLeaf]]=1,Tasks[[#This Row],[_LeafProgress]]&gt;=1),IF(N(Tasks[[#This Row],[Actual Finish]])&gt;0,Tasks[[#This Row],[Actual Finish]],Tasks[[#This Row],[_ShownFcstFinish]]),"")</f>
        <v/>
      </c>
      <c r="GK88" s="42" t="n">
        <f aca="false">IF(Tasks[[#This Row],[_IsLeaf]]=1,N(Tasks[[#This Row],[Story Points]]),0)</f>
        <v>0</v>
      </c>
      <c r="GL88" s="42" t="str">
        <f aca="false">""</f>
        <v/>
      </c>
      <c r="GM88" s="88" t="b">
        <f aca="false">IF(Tasks[[#This Row],[Task Name]]="",FALSE(),AND(Tasks[[#This Row],[_IsLeaf]]=1,N(Tasks[[#This Row],[_Days]])=0))</f>
        <v>0</v>
      </c>
      <c r="GN88" s="89" t="n">
        <f aca="false">IF(Tasks[[#This Row],[Task Name]]="",0,IF(AND(Tasks[[#This Row],[_IsLeaf]]=1,NOT(Tasks[[#This Row],[_IsMilestone]]),N(Tasks[[#This Row],[Progress]])&gt;0),Tasks[[#This Row],[Start]],0))</f>
        <v>0</v>
      </c>
      <c r="GO88" s="89" t="n">
        <f aca="false">IF(Tasks[[#This Row],[_DoneFrom]]=0,0,IF(Tasks[[#This Row],[Progress]]&gt;=1,Tasks[[#This Row],[Finish]],MAX(Tasks[[#This Row],[_DoneFrom]],Tasks[[#This Row],[Start]]+ROUND((Tasks[[#This Row],[Finish]]-Tasks[[#This Row],[Start]]+1)*Tasks[[#This Row],[Progress]],0)-1)))</f>
        <v>0</v>
      </c>
      <c r="GP88" s="89" t="n">
        <f aca="false">IF(Tasks[[#This Row],[Task Name]]="",0,IF(OR(NOT(Tasks[[#This Row],[_IsLeaf]]=1),Tasks[[#This Row],[_IsMilestone]],N(Tasks[[#This Row],[Progress]])&gt;=1),0,IF(Tasks[[#This Row],[_DoneTo]]&gt;0,Tasks[[#This Row],[_DoneTo]]+1,Tasks[[#This Row],[Start]])))</f>
        <v>0</v>
      </c>
      <c r="GQ88" s="89" t="n">
        <f aca="false">IF(Tasks[[#This Row],[_RemFrom]]=0,0,Tasks[[#This Row],[Finish]])</f>
        <v>0</v>
      </c>
      <c r="GR88" s="88" t="b">
        <f aca="false">IF(Tasks[[#This Row],[Task Name]]="",FALSE(),OR(NOT(BaselineSet),N(Tasks[[#This Row],[Baseline Start]])&gt;0))</f>
        <v>0</v>
      </c>
      <c r="GS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8" s="90" t="str">
        <f aca="false">IF(Tasks[[#This Row],[_IsLeaf]]=1,Tasks[[#This Row],[_Row]],"")</f>
        <v/>
      </c>
      <c r="GW88" s="90" t="str">
        <f aca="false">IFERROR(INDEX(Tasks[UID],SMALL(Tasks[_PickKey],Tasks[[#This Row],[_Row]]))&amp;" "&amp;INDEX(Tasks[Task Name],SMALL(Tasks[_PickKey],Tasks[[#This Row],[_Row]])),"")</f>
        <v/>
      </c>
      <c r="GX88" s="42" t="str">
        <f aca="false">IF(Tasks[[#This Row],[Task Name]]="","",IF(Tasks[[#This Row],[_IsSummary]],NETWORKDAYS.INTL(Tasks[[#This Row],[Start]],Tasks[[#This Row],[Finish]],WorkWeek,Holidays),N(Tasks[[#This Row],[_Days]])))</f>
        <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3"/>
      <c r="U89" s="23"/>
      <c r="V89" s="83"/>
      <c r="W89" s="23"/>
      <c r="X89" s="83"/>
      <c r="Y89" s="23"/>
      <c r="Z89" s="83"/>
      <c r="AA89" s="23"/>
      <c r="AB89" s="23"/>
      <c r="AC89" s="7"/>
      <c r="AD89" s="7"/>
      <c r="AE89" s="62" t="str">
        <f aca="false">IF(Tasks[[#This Row],[Task Name]]="","",IF(Tasks[[#This Row],[_IsSummary]],MIN(INDEX(Tasks[_ShownFcstStart],Tasks[[#This Row],[_Row]]+1):INDEX(Tasks[_ShownFcstStart],Tasks[[#This Row],[_Row]]+Tasks[[#This Row],[_Descendants]])),Tasks[[#This Row],[_ShownFcstStart]]))</f>
        <v/>
      </c>
      <c r="AF89" s="62"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9" s="7"/>
      <c r="AK89" s="22"/>
      <c r="AL89" s="23"/>
      <c r="AM89" s="7"/>
      <c r="AN89" s="46"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2" t="str">
        <f aca="false">IF(Tasks[[#This Row],[Task Name]]="","",IF(N(Tasks[[#This Row],[Baseline Start]])&gt;0,Tasks[[#This Row],[Baseline Start]],Tasks[[#This Row],[_CalcStart]]))</f>
        <v/>
      </c>
      <c r="AR89" s="62" t="str">
        <f aca="false">IF(Tasks[[#This Row],[Task Name]]="","",IF(N(Tasks[[#This Row],[Baseline Finish]])&gt;0,Tasks[[#This Row],[Baseline Finish]],Tasks[[#This Row],[_CalcFinish]]))</f>
        <v/>
      </c>
      <c r="AS89" s="46" t="str">
        <f aca="false">IF(Tasks[[#This Row],[Task Name]]="","",IF(Tasks[[#This Row],[Start]]&gt;=Tasks[[#This Row],[Planned Start]],NETWORKDAYS.INTL(Tasks[[#This Row],[Planned Start]],Tasks[[#This Row],[Start]],WorkWeek,Holidays)-1,1-NETWORKDAYS.INTL(Tasks[[#This Row],[Start]],Tasks[[#This Row],[Planned Start]],WorkWeek,Holidays)))</f>
        <v/>
      </c>
      <c r="AT89" s="62" t="str">
        <f aca="false">IF(Tasks[[#This Row],[Task Name]]="","",IF(Tasks[[#This Row],[_IsSummary]],MIN(INDEX(Tasks[_LeafLateStart],Tasks[[#This Row],[_Row]]+1):INDEX(Tasks[_LeafLateStart],Tasks[[#This Row],[_Row]]+Tasks[[#This Row],[_Descendants]])),Tasks[[#This Row],[_LeafLateStart]]))</f>
        <v/>
      </c>
      <c r="AU89" s="62" t="str">
        <f aca="false">IF(Tasks[[#This Row],[Task Name]]="","",IF(Tasks[[#This Row],[_IsSummary]],MAX(INDEX(Tasks[_LeafLateFinish],Tasks[[#This Row],[_Row]]+1):INDEX(Tasks[_LeafLateFinish],Tasks[[#This Row],[_Row]]+Tasks[[#This Row],[_Descendants]])),Tasks[[#This Row],[_LeafLateFinish]]))</f>
        <v/>
      </c>
      <c r="AV89" s="46"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4"/>
      <c r="BA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5"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6"/>
      <c r="BJ89" s="22"/>
      <c r="BK89" s="46" t="str">
        <f aca="false">IF(OR(Tasks[[#This Row],[Task Name]]="",Tasks[[#This Row],[Baseline Duration]]=""),"",Tasks[[#This Row],[_SpanDays]]-N(Tasks[[#This Row],[Baseline Duration]]))</f>
        <v/>
      </c>
      <c r="BL89" s="85" t="str">
        <f aca="false">IF(OR(Tasks[[#This Row],[Task Name]]="",Tasks[[#This Row],[Baseline Work]]=""),"",Tasks[[#This Row],[Work]]-N(Tasks[[#This Row],[Baseline Work]]))</f>
        <v/>
      </c>
      <c r="BM89" s="62" t="str">
        <f aca="false">IF(Tasks[[#This Row],[Task Name]]="","",IF(OR(TakeBaseline="Yes",N(Tasks[[#This Row],[Baseline Start]])=0),Tasks[[#This Row],[Start]],Tasks[[#This Row],[Baseline Start]]))</f>
        <v/>
      </c>
      <c r="BN89" s="62"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5" t="str">
        <f aca="false">IF(Tasks[[#This Row],[Task Name]]="","",IF(OR(TakeBaseline="Yes",N(Tasks[[#This Row],[Baseline Work]])=0),Tasks[[#This Row],[Work]],Tasks[[#This Row],[Baseline Work]]))</f>
        <v/>
      </c>
      <c r="BQ89" s="7"/>
      <c r="BR89" s="7"/>
      <c r="BS89" s="22"/>
      <c r="BT89" s="87"/>
      <c r="BU89" s="42" t="str">
        <f aca="false">IF(Tasks[[#This Row],[Task Name]]="","",MAX(1,N(Tasks[[#This Row],[Level]])))</f>
        <v/>
      </c>
      <c r="BV89" s="42" t="n">
        <f aca="false">ROW()-ROW(Tasks[[#Headers],[ID]])</f>
        <v>84</v>
      </c>
      <c r="BW89" s="42" t="n">
        <f aca="false">IF(OR(Tasks[[#This Row],[Task Name]]="",Tasks[[#This Row],[_Level]]&lt;=1),0,IFERROR(LOOKUP(2,1/(Tasks[[#Headers],[_Level]]:Tasks[[#This Row],[_Level]]=Tasks[[#This Row],[_Level]]-1),ROW(Tasks[[#Headers],[_Level]]:Tasks[[#This Row],[_Level]])),0))</f>
        <v>0</v>
      </c>
      <c r="BX89" s="42" t="n">
        <f aca="false">IFERROR(N(INDEX(Tasks[_Level],Tasks[[#This Row],[_Row]]+1)),0)</f>
        <v>0</v>
      </c>
      <c r="BY89" s="88" t="b">
        <f aca="false">AND(Tasks[[#This Row],[Task Name]]&lt;&gt;"",Tasks[[#This Row],[_NextLevel]]&gt;Tasks[[#This Row],[_Level]])</f>
        <v>0</v>
      </c>
      <c r="BZ89" s="42" t="n">
        <f aca="false">IF(Tasks[[#This Row],[_IsSummary]],COUNTIF(Tasks[WBS],Tasks[[#This Row],[WBS]]&amp;".*"),0)</f>
        <v>0</v>
      </c>
      <c r="CA89" s="42" t="n">
        <f aca="false">IF(AND(Tasks[[#This Row],[Task Name]]&lt;&gt;"",NOT(Tasks[[#This Row],[_IsSummary]])),1,0)</f>
        <v>0</v>
      </c>
      <c r="CB89" s="42" t="n">
        <f aca="false">IF(N(Tasks[[#This Row],[_Pred1UID]])=0,0,IFERROR(MATCH(Tasks[[#This Row],[_Pred1UID]],Tasks[UID],0),-1))</f>
        <v>0</v>
      </c>
      <c r="CC89" s="42" t="n">
        <f aca="false">IF(N(Tasks[[#This Row],[_Pred2UID]])=0,0,IFERROR(MATCH(Tasks[[#This Row],[_Pred2UID]],Tasks[UID],0),-1))</f>
        <v>0</v>
      </c>
      <c r="CD89" s="42" t="n">
        <f aca="false">IF(N(Tasks[[#This Row],[_Pred3UID]])=0,0,IFERROR(MATCH(Tasks[[#This Row],[_Pred3UID]],Tasks[UID],0),-1))</f>
        <v>0</v>
      </c>
      <c r="CE89" s="42" t="n">
        <f aca="false">IF(N(Tasks[[#This Row],[_Pred4UID]])=0,0,IFERROR(MATCH(Tasks[[#This Row],[_Pred4UID]],Tasks[UID],0),-1))</f>
        <v>0</v>
      </c>
      <c r="CF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9" s="89" t="n">
        <f aca="false">IF(OR(Tasks[[#This Row],[_ConstraintCode]]=2,Tasks[[#This Row],[_ConstraintCode]]=3,Tasks[[#This Row],[_ConstraintCode]]=4,Tasks[[#This Row],[_ConstraintCode]]=6),Tasks[[#This Row],[_ConstraintStart]],0)</f>
        <v>0</v>
      </c>
      <c r="CI89" s="89" t="n">
        <f aca="false">IF(OR(Tasks[[#This Row],[_ConstraintCode]]=2,Tasks[[#This Row],[_ConstraintCode]]=3,Tasks[[#This Row],[_ConstraintCode]]=5,Tasks[[#This Row],[_ConstraintCode]]=7),Tasks[[#This Row],[_ConstraintStart]],2958465)</f>
        <v>2958465</v>
      </c>
      <c r="CJ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9" s="89" t="str">
        <f aca="false">IF(NOT(Tasks[[#This Row],[_IsLeaf]]=1),"",IF(N(Tasks[[#This Row],[_Days]])&lt;=0,Tasks[[#This Row],[_LeafCalcStart]],WORKDAY.INTL(Tasks[[#This Row],[_LeafCalcStart]],Tasks[[#This Row],[_Days]]-1,WorkWeek,Holidays)))</f>
        <v/>
      </c>
      <c r="CL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9" s="42" t="str">
        <f aca="false">IF(Tasks[[#This Row],[_Predecessors]]="","",TRIM(MID(SUBSTITUTE(SUBSTITUTE(SUBSTITUTE(UPPER(Tasks[[#This Row],[_Predecessors]]),";",",")," ",""),",",REPT(" ",99)),1,99)))</f>
        <v/>
      </c>
      <c r="CO89" s="42" t="str">
        <f aca="false">IF(Tasks[[#This Row],[_Pred1Text]]="","",IFERROR(VALUE(LEFT(Tasks[[#This Row],[_Pred1Text]],MIN(FIND("F",Tasks[[#This Row],[_Pred1Text]]&amp;"F"),FIND("S",Tasks[[#This Row],[_Pred1Text]]&amp;"S"),FIND("+",Tasks[[#This Row],[_Pred1Text]]&amp;"+"),FIND("-",Tasks[[#This Row],[_Pred1Text]]&amp;"-"))-1)),""))</f>
        <v/>
      </c>
      <c r="CP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9" s="42" t="str">
        <f aca="false">IF(Tasks[[#This Row],[_Pred1Text]]="","",TRIM(MID(SUBSTITUTE(SUBSTITUTE(SUBSTITUTE(UPPER(Tasks[[#This Row],[_Predecessors]]),";",",")," ",""),",",REPT(" ",99)),100,99)))</f>
        <v/>
      </c>
      <c r="CS89" s="42" t="str">
        <f aca="false">IF(Tasks[[#This Row],[_Pred2Text]]="","",IFERROR(VALUE(LEFT(Tasks[[#This Row],[_Pred2Text]],MIN(FIND("F",Tasks[[#This Row],[_Pred2Text]]&amp;"F"),FIND("S",Tasks[[#This Row],[_Pred2Text]]&amp;"S"),FIND("+",Tasks[[#This Row],[_Pred2Text]]&amp;"+"),FIND("-",Tasks[[#This Row],[_Pred2Text]]&amp;"-"))-1)),""))</f>
        <v/>
      </c>
      <c r="CT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9" s="42" t="str">
        <f aca="false">IF(Tasks[[#This Row],[_Pred2Text]]="","",TRIM(MID(SUBSTITUTE(SUBSTITUTE(SUBSTITUTE(UPPER(Tasks[[#This Row],[_Predecessors]]),";",",")," ",""),",",REPT(" ",99)),199,99)))</f>
        <v/>
      </c>
      <c r="CW89" s="42" t="str">
        <f aca="false">IF(Tasks[[#This Row],[_Pred3Text]]="","",IFERROR(VALUE(LEFT(Tasks[[#This Row],[_Pred3Text]],MIN(FIND("F",Tasks[[#This Row],[_Pred3Text]]&amp;"F"),FIND("S",Tasks[[#This Row],[_Pred3Text]]&amp;"S"),FIND("+",Tasks[[#This Row],[_Pred3Text]]&amp;"+"),FIND("-",Tasks[[#This Row],[_Pred3Text]]&amp;"-"))-1)),""))</f>
        <v/>
      </c>
      <c r="CX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9" s="42" t="str">
        <f aca="false">IF(Tasks[[#This Row],[_Pred3Text]]="","",TRIM(MID(SUBSTITUTE(SUBSTITUTE(SUBSTITUTE(UPPER(Tasks[[#This Row],[_Predecessors]]),";",",")," ",""),",",REPT(" ",99)),298,99)))</f>
        <v/>
      </c>
      <c r="DA89" s="42" t="str">
        <f aca="false">IF(Tasks[[#This Row],[_Pred4Text]]="","",IFERROR(VALUE(LEFT(Tasks[[#This Row],[_Pred4Text]],MIN(FIND("F",Tasks[[#This Row],[_Pred4Text]]&amp;"F"),FIND("S",Tasks[[#This Row],[_Pred4Text]]&amp;"S"),FIND("+",Tasks[[#This Row],[_Pred4Text]]&amp;"+"),FIND("-",Tasks[[#This Row],[_Pred4Text]]&amp;"-"))-1)),""))</f>
        <v/>
      </c>
      <c r="DB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9" s="42" t="str">
        <f aca="false">IF(OR(Tasks[[#This Row],[Task Name]]="",Tasks[[#This Row],[_Resources]]=""),"",TRIM(MID(SUBSTITUTE(Tasks[[#This Row],[_Resources]],",",REPT(" ",99)),1,99)))</f>
        <v/>
      </c>
      <c r="DE89" s="42" t="str">
        <f aca="false">IF(Tasks[[#This Row],[_Res1Text]]="","",TRIM(MID(SUBSTITUTE(Tasks[[#This Row],[_Resources]],",",REPT(" ",99)),100,99)))</f>
        <v/>
      </c>
      <c r="DF89" s="42" t="str">
        <f aca="false">IF(Tasks[[#This Row],[_Res2Text]]="","",TRIM(MID(SUBSTITUTE(Tasks[[#This Row],[_Resources]],",",REPT(" ",99)),199,99)))</f>
        <v/>
      </c>
      <c r="DG89" s="42" t="str">
        <f aca="false">IF(Tasks[[#This Row],[_Res3Text]]="","",TRIM(MID(SUBSTITUTE(Tasks[[#This Row],[_Resources]],",",REPT(" ",99)),298,99)))</f>
        <v/>
      </c>
      <c r="DH89" s="42" t="n">
        <f aca="false">IF(Tasks[[#This Row],[_Res1Text]]="",0,IFERROR(MATCH(TRIM(LEFT(Tasks[[#This Row],[_Res1Text]],FIND("[",Tasks[[#This Row],[_Res1Text]]&amp;"[")-1)),res_Name,0),IFERROR(MATCH(TRIM(LEFT(Tasks[[#This Row],[_Res1Text]],FIND("[",Tasks[[#This Row],[_Res1Text]]&amp;"[")-1)),res_Initials,0),0)))</f>
        <v>0</v>
      </c>
      <c r="DI89" s="42" t="n">
        <f aca="false">IF(Tasks[[#This Row],[_Res2Text]]="",0,IFERROR(MATCH(TRIM(LEFT(Tasks[[#This Row],[_Res2Text]],FIND("[",Tasks[[#This Row],[_Res2Text]]&amp;"[")-1)),res_Name,0),IFERROR(MATCH(TRIM(LEFT(Tasks[[#This Row],[_Res2Text]],FIND("[",Tasks[[#This Row],[_Res2Text]]&amp;"[")-1)),res_Initials,0),0)))</f>
        <v>0</v>
      </c>
      <c r="DJ89" s="42" t="n">
        <f aca="false">IF(Tasks[[#This Row],[_Res3Text]]="",0,IFERROR(MATCH(TRIM(LEFT(Tasks[[#This Row],[_Res3Text]],FIND("[",Tasks[[#This Row],[_Res3Text]]&amp;"[")-1)),res_Name,0),IFERROR(MATCH(TRIM(LEFT(Tasks[[#This Row],[_Res3Text]],FIND("[",Tasks[[#This Row],[_Res3Text]]&amp;"[")-1)),res_Initials,0),0)))</f>
        <v>0</v>
      </c>
      <c r="DK89" s="42" t="n">
        <f aca="false">IF(Tasks[[#This Row],[_Res4Text]]="",0,IFERROR(MATCH(TRIM(LEFT(Tasks[[#This Row],[_Res4Text]],FIND("[",Tasks[[#This Row],[_Res4Text]]&amp;"[")-1)),res_Name,0),IFERROR(MATCH(TRIM(LEFT(Tasks[[#This Row],[_Res4Text]],FIND("[",Tasks[[#This Row],[_Res4Text]]&amp;"[")-1)),res_Initials,0),0)))</f>
        <v>0</v>
      </c>
      <c r="DL89" s="42" t="str">
        <f aca="false">IF(Tasks[[#This Row],[_Res1Text]]="","",IF(Tasks[[#This Row],[_Res1Row]]&gt;0,INDEX(res_Name,Tasks[[#This Row],[_Res1Row]]),TRIM(LEFT(Tasks[[#This Row],[_Res1Text]],FIND("[",Tasks[[#This Row],[_Res1Text]]&amp;"[")-1))))</f>
        <v/>
      </c>
      <c r="DM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9" s="42" t="n">
        <f aca="false">IF(NOT(Tasks[[#This Row],[_IsLeaf]]=1),0,(Tasks[[#This Row],[_Resource1]]&lt;&gt;"")+(Tasks[[#This Row],[_Res2]]&lt;&gt;"")+(Tasks[[#This Row],[_Res3]]&lt;&gt;"")+(Tasks[[#This Row],[_Res4]]&lt;&gt;""))</f>
        <v>0</v>
      </c>
      <c r="DO89" s="42" t="str">
        <f aca="false">IF(Tasks[[#This Row],[_Res2Text]]="","",IF(Tasks[[#This Row],[_Res2Row]]&gt;0,INDEX(res_Name,Tasks[[#This Row],[_Res2Row]]),TRIM(LEFT(Tasks[[#This Row],[_Res2Text]],FIND("[",Tasks[[#This Row],[_Res2Text]]&amp;"[")-1))))</f>
        <v/>
      </c>
      <c r="DP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9" s="42" t="n">
        <f aca="false">IF(OR(NOT(Tasks[[#This Row],[_IsLeaf]]=1),Tasks[[#This Row],[_Res2Row]]=0),0,N(Tasks[[#This Row],[_Days]])*HoursPerDay*IF(Tasks[[#This Row],[_Res2Units]]="",DefaultUnits,Tasks[[#This Row],[_Res2Units]]))</f>
        <v>0</v>
      </c>
      <c r="DR89" s="42" t="n">
        <f aca="false">IF(AND(AND(Tasks[[#This Row],[_IsLeaf]]=1,Tasks[[#This Row],[_LeafTotalWork]]&gt;0),Tasks[[#This Row],[_Res2Work]]&gt;0),Tasks[[#This Row],[_Res2Work]]/(Tasks[[#This Row],[_FinishWorkday]]-Tasks[[#This Row],[_StartWorkday]]+1),0)</f>
        <v>0</v>
      </c>
      <c r="DS89" s="42" t="n">
        <f aca="false">Tasks[[#This Row],[_Res2WorkPerWD]]*MAX(0,Tasks[[#This Row],[_StartWorkday]]-1)</f>
        <v>0</v>
      </c>
      <c r="DT89" s="42" t="n">
        <f aca="false">Tasks[[#This Row],[_Res2Work]]*Tasks[[#This Row],[_LeafProgress]]</f>
        <v>0</v>
      </c>
      <c r="DU89" s="42" t="str">
        <f aca="false">IF(Tasks[[#This Row],[_Res3Text]]="","",IF(Tasks[[#This Row],[_Res3Row]]&gt;0,INDEX(res_Name,Tasks[[#This Row],[_Res3Row]]),TRIM(LEFT(Tasks[[#This Row],[_Res3Text]],FIND("[",Tasks[[#This Row],[_Res3Text]]&amp;"[")-1))))</f>
        <v/>
      </c>
      <c r="DV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9" s="42" t="n">
        <f aca="false">IF(OR(NOT(Tasks[[#This Row],[_IsLeaf]]=1),Tasks[[#This Row],[_Res3Row]]=0),0,N(Tasks[[#This Row],[_Days]])*HoursPerDay*IF(Tasks[[#This Row],[_Res3Units]]="",DefaultUnits,Tasks[[#This Row],[_Res3Units]]))</f>
        <v>0</v>
      </c>
      <c r="DX89" s="42" t="n">
        <f aca="false">IF(AND(AND(Tasks[[#This Row],[_IsLeaf]]=1,Tasks[[#This Row],[_LeafTotalWork]]&gt;0),Tasks[[#This Row],[_Res3Work]]&gt;0),Tasks[[#This Row],[_Res3Work]]/(Tasks[[#This Row],[_FinishWorkday]]-Tasks[[#This Row],[_StartWorkday]]+1),0)</f>
        <v>0</v>
      </c>
      <c r="DY89" s="42" t="n">
        <f aca="false">Tasks[[#This Row],[_Res3WorkPerWD]]*MAX(0,Tasks[[#This Row],[_StartWorkday]]-1)</f>
        <v>0</v>
      </c>
      <c r="DZ89" s="42" t="n">
        <f aca="false">Tasks[[#This Row],[_Res3Work]]*Tasks[[#This Row],[_LeafProgress]]</f>
        <v>0</v>
      </c>
      <c r="EA89" s="42" t="str">
        <f aca="false">IF(Tasks[[#This Row],[_Res4Text]]="","",IF(Tasks[[#This Row],[_Res4Row]]&gt;0,INDEX(res_Name,Tasks[[#This Row],[_Res4Row]]),TRIM(LEFT(Tasks[[#This Row],[_Res4Text]],FIND("[",Tasks[[#This Row],[_Res4Text]]&amp;"[")-1))))</f>
        <v/>
      </c>
      <c r="EB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9" s="42" t="n">
        <f aca="false">IF(OR(NOT(Tasks[[#This Row],[_IsLeaf]]=1),Tasks[[#This Row],[_Res4Row]]=0),0,N(Tasks[[#This Row],[_Days]])*HoursPerDay*IF(Tasks[[#This Row],[_Res4Units]]="",DefaultUnits,Tasks[[#This Row],[_Res4Units]]))</f>
        <v>0</v>
      </c>
      <c r="ED89" s="42" t="n">
        <f aca="false">IF(AND(AND(Tasks[[#This Row],[_IsLeaf]]=1,Tasks[[#This Row],[_LeafTotalWork]]&gt;0),Tasks[[#This Row],[_Res4Work]]&gt;0),Tasks[[#This Row],[_Res4Work]]/(Tasks[[#This Row],[_FinishWorkday]]-Tasks[[#This Row],[_StartWorkday]]+1),0)</f>
        <v>0</v>
      </c>
      <c r="EE89" s="42" t="n">
        <f aca="false">Tasks[[#This Row],[_Res4WorkPerWD]]*MAX(0,Tasks[[#This Row],[_StartWorkday]]-1)</f>
        <v>0</v>
      </c>
      <c r="EF89" s="42" t="n">
        <f aca="false">Tasks[[#This Row],[_Res4Work]]*Tasks[[#This Row],[_LeafProgress]]</f>
        <v>0</v>
      </c>
      <c r="EG89" s="42" t="n">
        <f aca="false">IF(ISNUMBER(Tasks[[#This Row],[% Complete]]),Tasks[[#This Row],[% Complete]],IF(Tasks[[#This Row],[Stage]]="",0,IFERROR(INDEX(stg_Pct,MATCH(Tasks[[#This Row],[Stage]],stg_Name,0)),0)))</f>
        <v>0</v>
      </c>
      <c r="EH89" s="42" t="n">
        <f aca="false">IF(NOT(Tasks[[#This Row],[_IsLeaf]]=1),0,IF(N(Tasks[[#This Row],[Actual Finish]])&gt;0,1,MIN(1,Tasks[[#This Row],[_Pct]])))</f>
        <v>0</v>
      </c>
      <c r="EI89" s="42" t="n">
        <f aca="false">IF(OR(NOT(Tasks[[#This Row],[_IsLeaf]]=1),Tasks[[#This Row],[_Res1Row]]=0),0,N(Tasks[[#This Row],[_Days]])*HoursPerDay*IF(Tasks[[#This Row],[_Units1]]="",DefaultUnits,Tasks[[#This Row],[_Units1]]))</f>
        <v>0</v>
      </c>
      <c r="EJ89" s="42" t="n">
        <f aca="false">Tasks[[#This Row],[_LeafWork]]+Tasks[[#This Row],[_Res2Work]]+Tasks[[#This Row],[_Res3Work]]+Tasks[[#This Row],[_Res4Work]]</f>
        <v>0</v>
      </c>
      <c r="EK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9" s="42" t="n">
        <f aca="false">IF(NOT(Tasks[[#This Row],[_IsLeaf]]=1),0,MAX(_xlfn.MAXIFS(Tasks[_Row],Tasks[_Pred1UID],Tasks[[#This Row],[UID]]),_xlfn.MAXIFS(Tasks[_Row],Tasks[_Pred2UID],Tasks[[#This Row],[UID]]),_xlfn.MAXIFS(Tasks[_Row],Tasks[_Pred3UID],Tasks[[#This Row],[UID]]),_xlfn.MAXIFS(Tasks[_Row],Tasks[_Pred4UID],Tasks[[#This Row],[UID]])))</f>
        <v>0</v>
      </c>
      <c r="ET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9" s="89" t="str">
        <f aca="false">IF(NOT(Tasks[[#This Row],[_IsLeaf]]=1),"",IF(N(Tasks[[#This Row],[_Days]])&lt;=0,Tasks[[#This Row],[_LeafLateFinish]],WORKDAY.INTL(Tasks[[#This Row],[_LeafLateFinish]],-(Tasks[[#This Row],[_Days]]-1),WorkWeek,Holidays)))</f>
        <v/>
      </c>
      <c r="EW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9" s="88" t="b">
        <f aca="false">AND(Tasks[[#This Row],[_IsLeaf]]=1,Tasks[[#This Row],[_LeafProgress]]&lt;1,N(Tasks[[#This Row],[_LeafTotalSlack]])&lt;=CriticalSlackDays)</f>
        <v>0</v>
      </c>
      <c r="EY89" s="42" t="n">
        <f aca="false">IF(AND(Tasks[[#This Row],[_IsLeaf]]=1,Tasks[[#This Row],[_ConstraintCode]]=1,Tasks[[#This Row],[Mode]]&lt;&gt;"Manual",N(Tasks[[#This Row],[Actual Start]])=0),MAX(0,N(Tasks[[#This Row],[Free Slack]])),0)</f>
        <v>0</v>
      </c>
      <c r="EZ89" s="89" t="str">
        <f aca="false">IF(NOT(Tasks[[#This Row],[_IsLeaf]]=1),"",IF(Tasks[[#This Row],[_AlapShift]]=0,Tasks[[#This Row],[_LeafCalcStart]],WORKDAY.INTL(Tasks[[#This Row],[_LeafCalcStart]],Tasks[[#This Row],[_AlapShift]],WorkWeek,Holidays)))</f>
        <v/>
      </c>
      <c r="FA89" s="89" t="str">
        <f aca="false">IF(NOT(Tasks[[#This Row],[_IsLeaf]]=1),"",IF(Tasks[[#This Row],[_AlapShift]]=0,Tasks[[#This Row],[_LeafCalcFinish]],WORKDAY.INTL(Tasks[[#This Row],[_LeafCalcFinish]],Tasks[[#This Row],[_AlapShift]],WorkWeek,Holidays)))</f>
        <v/>
      </c>
      <c r="FB89" s="89" t="str">
        <f aca="false">IF(NOT(Tasks[[#This Row],[_IsLeaf]]=1),"",IF(Tasks[[#This Row],[_AlapShift]]=0,Tasks[[#This Row],[_LeafFcstStart]],WORKDAY.INTL(Tasks[[#This Row],[_LeafFcstStart]],Tasks[[#This Row],[_AlapShift]],WorkWeek,Holidays)))</f>
        <v/>
      </c>
      <c r="FC89" s="89" t="str">
        <f aca="false">IF(NOT(Tasks[[#This Row],[_IsLeaf]]=1),"",IF(Tasks[[#This Row],[_AlapShift]]=0,Tasks[[#This Row],[_LeafFcstFinish]],WORKDAY.INTL(Tasks[[#This Row],[_LeafFcstFinish]],Tasks[[#This Row],[_AlapShift]],WorkWeek,Holidays)))</f>
        <v/>
      </c>
      <c r="FD89" s="89" t="str">
        <f aca="false">IF(Tasks[[#This Row],[Task Name]]="","",IF(Tasks[[#This Row],[_IsSummary]],MIN(INDEX(Tasks[_ShownCalcStart],Tasks[[#This Row],[_Row]]+1):INDEX(Tasks[_ShownCalcStart],Tasks[[#This Row],[_Row]]+Tasks[[#This Row],[_Descendants]])),Tasks[[#This Row],[_ShownCalcStart]]))</f>
        <v/>
      </c>
      <c r="FE89" s="89" t="str">
        <f aca="false">IF(Tasks[[#This Row],[Task Name]]="","",IF(Tasks[[#This Row],[_IsSummary]],MAX(INDEX(Tasks[_ShownCalcFinish],Tasks[[#This Row],[_Row]]+1):INDEX(Tasks[_ShownCalcFinish],Tasks[[#This Row],[_Row]]+Tasks[[#This Row],[_Descendants]])),Tasks[[#This Row],[_ShownCalcFinish]]))</f>
        <v/>
      </c>
      <c r="FF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9" s="42" t="n">
        <f aca="false">IF(AND(Tasks[[#This Row],[_IsLeaf]]=1,Tasks[[#This Row],[_LeafTotalWork]]&gt;0),NETWORKDAYS.INTL(ProjectStart,Tasks[[#This Row],[_ShownFcstStart]],WorkWeek,Holidays),0)</f>
        <v>0</v>
      </c>
      <c r="FS89" s="42" t="n">
        <f aca="false">IF(AND(Tasks[[#This Row],[_IsLeaf]]=1,Tasks[[#This Row],[_LeafTotalWork]]&gt;0),MAX(Tasks[[#This Row],[_StartWorkday]],NETWORKDAYS.INTL(ProjectStart,Tasks[[#This Row],[_ShownFcstFinish]],WorkWeek,Holidays)),0)</f>
        <v>0</v>
      </c>
      <c r="FT89" s="42" t="n">
        <f aca="false">IF(AND(Tasks[[#This Row],[_IsLeaf]]=1,Tasks[[#This Row],[_LeafTotalWork]]&gt;0),Tasks[[#This Row],[_LeafWork]]/(Tasks[[#This Row],[_FinishWorkday]]-Tasks[[#This Row],[_StartWorkday]]+1),0)</f>
        <v>0</v>
      </c>
      <c r="FU89" s="42" t="n">
        <f aca="false">Tasks[[#This Row],[_WorkPerWorkday]]*(Tasks[[#This Row],[_StartWorkday]]-1)</f>
        <v>-0</v>
      </c>
      <c r="FV89" s="42" t="n">
        <f aca="false">IF(Tasks[[#This Row],[_IsLeaf]]=1,MAX(N(Tasks[[#This Row],[_Days]]),0.1),0)</f>
        <v>0</v>
      </c>
      <c r="FW89" s="42" t="n">
        <f aca="false">Tasks[[#This Row],[_WeightDur]]*Tasks[[#This Row],[_LeafProgress]]</f>
        <v>0</v>
      </c>
      <c r="FX89" s="42" t="n">
        <f aca="false">Tasks[[#This Row],[_WeightDur]]*Tasks[[#This Row],[_PlannedPct]]</f>
        <v>0</v>
      </c>
      <c r="FY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9" s="42" t="str">
        <f aca="false">IF(AND(Tasks[[#This Row],[_IsLeaf]]=1,N(Tasks[[#This Row],[_Days]])=0,Tasks[[#This Row],[_LeafProgress]]&lt;1),Tasks[[#This Row],[_ShownFcstFinish]]+Tasks[[#This Row],[_Row]]/100000,"")</f>
        <v/>
      </c>
      <c r="GA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9" s="42" t="str">
        <f aca="false">IF(Tasks[[#This Row],[Task Name]]="","",LEFT(Tasks[[#This Row],[WBS]],FIND(".",Tasks[[#This Row],[WBS]]&amp;".")-1))</f>
        <v/>
      </c>
      <c r="GC89" s="42" t="str">
        <f aca="false">IF(AND(Tasks[[#This Row],[Task Name]]&lt;&gt;"",Tasks[[#This Row],[_Level]]=1),Tasks[[#This Row],[_Row]],"")</f>
        <v/>
      </c>
      <c r="GD89" s="42" t="str">
        <f aca="false">IF(AND(Tasks[[#This Row],[_IsLeaf]]=1,N(Tasks[[#This Row],[_Days]])=0),Tasks[[#This Row],[Planned Finish]]+Tasks[[#This Row],[_Row]]/100000,"")</f>
        <v/>
      </c>
      <c r="GE89" s="42" t="str">
        <f aca="false">IF(AND(Tasks[[#This Row],[_IsLeaf]]=1,Tasks[[#This Row],[_LeafProgress]]&lt;1,OR(N(Tasks[[#This Row],[Finish Var]])&gt;0,Tasks[[#This Row],[Status]]="Late Start")),MAX(0,Tasks[[#This Row],[Finish Var]])+1-Tasks[[#This Row],[_Row]]/1000000,"")</f>
        <v/>
      </c>
      <c r="GF89" s="42" t="str">
        <f aca="false">IF(AND(Tasks[[#This Row],[_IsLeaf]]=1,N(Tasks[[#This Row],[Actual Start]])=0,Tasks[[#This Row],[_ShownFcstStart]]&gt;=StatusDate,Tasks[[#This Row],[_ShownFcstStart]]&lt;=LookaheadEnd),Tasks[[#This Row],[_ShownFcstStart]]+Tasks[[#This Row],[_Row]]/100000,"")</f>
        <v/>
      </c>
      <c r="GG89" s="42" t="str">
        <f aca="false">IF(AND(Tasks[[#This Row],[_IsLeaf]]=1,Tasks[[#This Row],[_LeafProgress]]&lt;1,Tasks[[#This Row],[_ShownFcstFinish]]&gt;=StatusDate,Tasks[[#This Row],[_ShownFcstFinish]]&lt;=LookaheadEnd),Tasks[[#This Row],[_ShownFcstFinish]]+Tasks[[#This Row],[_Row]]/100000,"")</f>
        <v/>
      </c>
      <c r="GH89" s="42" t="str">
        <f aca="false">IF(Tasks[[#This Row],[_LeafCritical]],Tasks[[#This Row],[_ShownFcstStart]]+Tasks[[#This Row],[_Row]]/100000,"")</f>
        <v/>
      </c>
      <c r="GI89" s="42" t="n">
        <f aca="false">Tasks[[#This Row],[_LeafWork]]*Tasks[[#This Row],[_LeafProgress]]</f>
        <v>0</v>
      </c>
      <c r="GJ89" s="89" t="str">
        <f aca="false">IF(AND(Tasks[[#This Row],[_IsLeaf]]=1,Tasks[[#This Row],[_LeafProgress]]&gt;=1),IF(N(Tasks[[#This Row],[Actual Finish]])&gt;0,Tasks[[#This Row],[Actual Finish]],Tasks[[#This Row],[_ShownFcstFinish]]),"")</f>
        <v/>
      </c>
      <c r="GK89" s="42" t="n">
        <f aca="false">IF(Tasks[[#This Row],[_IsLeaf]]=1,N(Tasks[[#This Row],[Story Points]]),0)</f>
        <v>0</v>
      </c>
      <c r="GL89" s="42" t="str">
        <f aca="false">""</f>
        <v/>
      </c>
      <c r="GM89" s="88" t="b">
        <f aca="false">IF(Tasks[[#This Row],[Task Name]]="",FALSE(),AND(Tasks[[#This Row],[_IsLeaf]]=1,N(Tasks[[#This Row],[_Days]])=0))</f>
        <v>0</v>
      </c>
      <c r="GN89" s="89" t="n">
        <f aca="false">IF(Tasks[[#This Row],[Task Name]]="",0,IF(AND(Tasks[[#This Row],[_IsLeaf]]=1,NOT(Tasks[[#This Row],[_IsMilestone]]),N(Tasks[[#This Row],[Progress]])&gt;0),Tasks[[#This Row],[Start]],0))</f>
        <v>0</v>
      </c>
      <c r="GO89" s="89" t="n">
        <f aca="false">IF(Tasks[[#This Row],[_DoneFrom]]=0,0,IF(Tasks[[#This Row],[Progress]]&gt;=1,Tasks[[#This Row],[Finish]],MAX(Tasks[[#This Row],[_DoneFrom]],Tasks[[#This Row],[Start]]+ROUND((Tasks[[#This Row],[Finish]]-Tasks[[#This Row],[Start]]+1)*Tasks[[#This Row],[Progress]],0)-1)))</f>
        <v>0</v>
      </c>
      <c r="GP89" s="89" t="n">
        <f aca="false">IF(Tasks[[#This Row],[Task Name]]="",0,IF(OR(NOT(Tasks[[#This Row],[_IsLeaf]]=1),Tasks[[#This Row],[_IsMilestone]],N(Tasks[[#This Row],[Progress]])&gt;=1),0,IF(Tasks[[#This Row],[_DoneTo]]&gt;0,Tasks[[#This Row],[_DoneTo]]+1,Tasks[[#This Row],[Start]])))</f>
        <v>0</v>
      </c>
      <c r="GQ89" s="89" t="n">
        <f aca="false">IF(Tasks[[#This Row],[_RemFrom]]=0,0,Tasks[[#This Row],[Finish]])</f>
        <v>0</v>
      </c>
      <c r="GR89" s="88" t="b">
        <f aca="false">IF(Tasks[[#This Row],[Task Name]]="",FALSE(),OR(NOT(BaselineSet),N(Tasks[[#This Row],[Baseline Start]])&gt;0))</f>
        <v>0</v>
      </c>
      <c r="GS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9" s="90" t="str">
        <f aca="false">IF(Tasks[[#This Row],[_IsLeaf]]=1,Tasks[[#This Row],[_Row]],"")</f>
        <v/>
      </c>
      <c r="GW89" s="90" t="str">
        <f aca="false">IFERROR(INDEX(Tasks[UID],SMALL(Tasks[_PickKey],Tasks[[#This Row],[_Row]]))&amp;" "&amp;INDEX(Tasks[Task Name],SMALL(Tasks[_PickKey],Tasks[[#This Row],[_Row]])),"")</f>
        <v/>
      </c>
      <c r="GX89" s="42" t="str">
        <f aca="false">IF(Tasks[[#This Row],[Task Name]]="","",IF(Tasks[[#This Row],[_IsSummary]],NETWORKDAYS.INTL(Tasks[[#This Row],[Start]],Tasks[[#This Row],[Finish]],WorkWeek,Holidays),N(Tasks[[#This Row],[_Days]])))</f>
        <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3"/>
      <c r="U90" s="23"/>
      <c r="V90" s="83"/>
      <c r="W90" s="23"/>
      <c r="X90" s="83"/>
      <c r="Y90" s="23"/>
      <c r="Z90" s="83"/>
      <c r="AA90" s="23"/>
      <c r="AB90" s="23"/>
      <c r="AC90" s="7"/>
      <c r="AD90" s="7"/>
      <c r="AE90" s="62" t="str">
        <f aca="false">IF(Tasks[[#This Row],[Task Name]]="","",IF(Tasks[[#This Row],[_IsSummary]],MIN(INDEX(Tasks[_ShownFcstStart],Tasks[[#This Row],[_Row]]+1):INDEX(Tasks[_ShownFcstStart],Tasks[[#This Row],[_Row]]+Tasks[[#This Row],[_Descendants]])),Tasks[[#This Row],[_ShownFcstStart]]))</f>
        <v/>
      </c>
      <c r="AF90" s="62"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0" s="7"/>
      <c r="AK90" s="22"/>
      <c r="AL90" s="23"/>
      <c r="AM90" s="7"/>
      <c r="AN90" s="46"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2" t="str">
        <f aca="false">IF(Tasks[[#This Row],[Task Name]]="","",IF(N(Tasks[[#This Row],[Baseline Start]])&gt;0,Tasks[[#This Row],[Baseline Start]],Tasks[[#This Row],[_CalcStart]]))</f>
        <v/>
      </c>
      <c r="AR90" s="62" t="str">
        <f aca="false">IF(Tasks[[#This Row],[Task Name]]="","",IF(N(Tasks[[#This Row],[Baseline Finish]])&gt;0,Tasks[[#This Row],[Baseline Finish]],Tasks[[#This Row],[_CalcFinish]]))</f>
        <v/>
      </c>
      <c r="AS90" s="46" t="str">
        <f aca="false">IF(Tasks[[#This Row],[Task Name]]="","",IF(Tasks[[#This Row],[Start]]&gt;=Tasks[[#This Row],[Planned Start]],NETWORKDAYS.INTL(Tasks[[#This Row],[Planned Start]],Tasks[[#This Row],[Start]],WorkWeek,Holidays)-1,1-NETWORKDAYS.INTL(Tasks[[#This Row],[Start]],Tasks[[#This Row],[Planned Start]],WorkWeek,Holidays)))</f>
        <v/>
      </c>
      <c r="AT90" s="62" t="str">
        <f aca="false">IF(Tasks[[#This Row],[Task Name]]="","",IF(Tasks[[#This Row],[_IsSummary]],MIN(INDEX(Tasks[_LeafLateStart],Tasks[[#This Row],[_Row]]+1):INDEX(Tasks[_LeafLateStart],Tasks[[#This Row],[_Row]]+Tasks[[#This Row],[_Descendants]])),Tasks[[#This Row],[_LeafLateStart]]))</f>
        <v/>
      </c>
      <c r="AU90" s="62" t="str">
        <f aca="false">IF(Tasks[[#This Row],[Task Name]]="","",IF(Tasks[[#This Row],[_IsSummary]],MAX(INDEX(Tasks[_LeafLateFinish],Tasks[[#This Row],[_Row]]+1):INDEX(Tasks[_LeafLateFinish],Tasks[[#This Row],[_Row]]+Tasks[[#This Row],[_Descendants]])),Tasks[[#This Row],[_LeafLateFinish]]))</f>
        <v/>
      </c>
      <c r="AV90" s="46"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4"/>
      <c r="BA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5"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6"/>
      <c r="BJ90" s="22"/>
      <c r="BK90" s="46" t="str">
        <f aca="false">IF(OR(Tasks[[#This Row],[Task Name]]="",Tasks[[#This Row],[Baseline Duration]]=""),"",Tasks[[#This Row],[_SpanDays]]-N(Tasks[[#This Row],[Baseline Duration]]))</f>
        <v/>
      </c>
      <c r="BL90" s="85" t="str">
        <f aca="false">IF(OR(Tasks[[#This Row],[Task Name]]="",Tasks[[#This Row],[Baseline Work]]=""),"",Tasks[[#This Row],[Work]]-N(Tasks[[#This Row],[Baseline Work]]))</f>
        <v/>
      </c>
      <c r="BM90" s="62" t="str">
        <f aca="false">IF(Tasks[[#This Row],[Task Name]]="","",IF(OR(TakeBaseline="Yes",N(Tasks[[#This Row],[Baseline Start]])=0),Tasks[[#This Row],[Start]],Tasks[[#This Row],[Baseline Start]]))</f>
        <v/>
      </c>
      <c r="BN90" s="62"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5" t="str">
        <f aca="false">IF(Tasks[[#This Row],[Task Name]]="","",IF(OR(TakeBaseline="Yes",N(Tasks[[#This Row],[Baseline Work]])=0),Tasks[[#This Row],[Work]],Tasks[[#This Row],[Baseline Work]]))</f>
        <v/>
      </c>
      <c r="BQ90" s="7"/>
      <c r="BR90" s="7"/>
      <c r="BS90" s="22"/>
      <c r="BT90" s="87"/>
      <c r="BU90" s="42" t="str">
        <f aca="false">IF(Tasks[[#This Row],[Task Name]]="","",MAX(1,N(Tasks[[#This Row],[Level]])))</f>
        <v/>
      </c>
      <c r="BV90" s="42" t="n">
        <f aca="false">ROW()-ROW(Tasks[[#Headers],[ID]])</f>
        <v>85</v>
      </c>
      <c r="BW90" s="42" t="n">
        <f aca="false">IF(OR(Tasks[[#This Row],[Task Name]]="",Tasks[[#This Row],[_Level]]&lt;=1),0,IFERROR(LOOKUP(2,1/(Tasks[[#Headers],[_Level]]:Tasks[[#This Row],[_Level]]=Tasks[[#This Row],[_Level]]-1),ROW(Tasks[[#Headers],[_Level]]:Tasks[[#This Row],[_Level]])),0))</f>
        <v>0</v>
      </c>
      <c r="BX90" s="42" t="n">
        <f aca="false">IFERROR(N(INDEX(Tasks[_Level],Tasks[[#This Row],[_Row]]+1)),0)</f>
        <v>0</v>
      </c>
      <c r="BY90" s="88" t="b">
        <f aca="false">AND(Tasks[[#This Row],[Task Name]]&lt;&gt;"",Tasks[[#This Row],[_NextLevel]]&gt;Tasks[[#This Row],[_Level]])</f>
        <v>0</v>
      </c>
      <c r="BZ90" s="42" t="n">
        <f aca="false">IF(Tasks[[#This Row],[_IsSummary]],COUNTIF(Tasks[WBS],Tasks[[#This Row],[WBS]]&amp;".*"),0)</f>
        <v>0</v>
      </c>
      <c r="CA90" s="42" t="n">
        <f aca="false">IF(AND(Tasks[[#This Row],[Task Name]]&lt;&gt;"",NOT(Tasks[[#This Row],[_IsSummary]])),1,0)</f>
        <v>0</v>
      </c>
      <c r="CB90" s="42" t="n">
        <f aca="false">IF(N(Tasks[[#This Row],[_Pred1UID]])=0,0,IFERROR(MATCH(Tasks[[#This Row],[_Pred1UID]],Tasks[UID],0),-1))</f>
        <v>0</v>
      </c>
      <c r="CC90" s="42" t="n">
        <f aca="false">IF(N(Tasks[[#This Row],[_Pred2UID]])=0,0,IFERROR(MATCH(Tasks[[#This Row],[_Pred2UID]],Tasks[UID],0),-1))</f>
        <v>0</v>
      </c>
      <c r="CD90" s="42" t="n">
        <f aca="false">IF(N(Tasks[[#This Row],[_Pred3UID]])=0,0,IFERROR(MATCH(Tasks[[#This Row],[_Pred3UID]],Tasks[UID],0),-1))</f>
        <v>0</v>
      </c>
      <c r="CE90" s="42" t="n">
        <f aca="false">IF(N(Tasks[[#This Row],[_Pred4UID]])=0,0,IFERROR(MATCH(Tasks[[#This Row],[_Pred4UID]],Tasks[UID],0),-1))</f>
        <v>0</v>
      </c>
      <c r="CF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0" s="89" t="n">
        <f aca="false">IF(OR(Tasks[[#This Row],[_ConstraintCode]]=2,Tasks[[#This Row],[_ConstraintCode]]=3,Tasks[[#This Row],[_ConstraintCode]]=4,Tasks[[#This Row],[_ConstraintCode]]=6),Tasks[[#This Row],[_ConstraintStart]],0)</f>
        <v>0</v>
      </c>
      <c r="CI90" s="89" t="n">
        <f aca="false">IF(OR(Tasks[[#This Row],[_ConstraintCode]]=2,Tasks[[#This Row],[_ConstraintCode]]=3,Tasks[[#This Row],[_ConstraintCode]]=5,Tasks[[#This Row],[_ConstraintCode]]=7),Tasks[[#This Row],[_ConstraintStart]],2958465)</f>
        <v>2958465</v>
      </c>
      <c r="CJ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0" s="89" t="str">
        <f aca="false">IF(NOT(Tasks[[#This Row],[_IsLeaf]]=1),"",IF(N(Tasks[[#This Row],[_Days]])&lt;=0,Tasks[[#This Row],[_LeafCalcStart]],WORKDAY.INTL(Tasks[[#This Row],[_LeafCalcStart]],Tasks[[#This Row],[_Days]]-1,WorkWeek,Holidays)))</f>
        <v/>
      </c>
      <c r="CL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0" s="42" t="str">
        <f aca="false">IF(Tasks[[#This Row],[_Predecessors]]="","",TRIM(MID(SUBSTITUTE(SUBSTITUTE(SUBSTITUTE(UPPER(Tasks[[#This Row],[_Predecessors]]),";",",")," ",""),",",REPT(" ",99)),1,99)))</f>
        <v/>
      </c>
      <c r="CO90" s="42" t="str">
        <f aca="false">IF(Tasks[[#This Row],[_Pred1Text]]="","",IFERROR(VALUE(LEFT(Tasks[[#This Row],[_Pred1Text]],MIN(FIND("F",Tasks[[#This Row],[_Pred1Text]]&amp;"F"),FIND("S",Tasks[[#This Row],[_Pred1Text]]&amp;"S"),FIND("+",Tasks[[#This Row],[_Pred1Text]]&amp;"+"),FIND("-",Tasks[[#This Row],[_Pred1Text]]&amp;"-"))-1)),""))</f>
        <v/>
      </c>
      <c r="CP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0" s="42" t="str">
        <f aca="false">IF(Tasks[[#This Row],[_Pred1Text]]="","",TRIM(MID(SUBSTITUTE(SUBSTITUTE(SUBSTITUTE(UPPER(Tasks[[#This Row],[_Predecessors]]),";",",")," ",""),",",REPT(" ",99)),100,99)))</f>
        <v/>
      </c>
      <c r="CS90" s="42" t="str">
        <f aca="false">IF(Tasks[[#This Row],[_Pred2Text]]="","",IFERROR(VALUE(LEFT(Tasks[[#This Row],[_Pred2Text]],MIN(FIND("F",Tasks[[#This Row],[_Pred2Text]]&amp;"F"),FIND("S",Tasks[[#This Row],[_Pred2Text]]&amp;"S"),FIND("+",Tasks[[#This Row],[_Pred2Text]]&amp;"+"),FIND("-",Tasks[[#This Row],[_Pred2Text]]&amp;"-"))-1)),""))</f>
        <v/>
      </c>
      <c r="CT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0" s="42" t="str">
        <f aca="false">IF(Tasks[[#This Row],[_Pred2Text]]="","",TRIM(MID(SUBSTITUTE(SUBSTITUTE(SUBSTITUTE(UPPER(Tasks[[#This Row],[_Predecessors]]),";",",")," ",""),",",REPT(" ",99)),199,99)))</f>
        <v/>
      </c>
      <c r="CW90" s="42" t="str">
        <f aca="false">IF(Tasks[[#This Row],[_Pred3Text]]="","",IFERROR(VALUE(LEFT(Tasks[[#This Row],[_Pred3Text]],MIN(FIND("F",Tasks[[#This Row],[_Pred3Text]]&amp;"F"),FIND("S",Tasks[[#This Row],[_Pred3Text]]&amp;"S"),FIND("+",Tasks[[#This Row],[_Pred3Text]]&amp;"+"),FIND("-",Tasks[[#This Row],[_Pred3Text]]&amp;"-"))-1)),""))</f>
        <v/>
      </c>
      <c r="CX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0" s="42" t="str">
        <f aca="false">IF(Tasks[[#This Row],[_Pred3Text]]="","",TRIM(MID(SUBSTITUTE(SUBSTITUTE(SUBSTITUTE(UPPER(Tasks[[#This Row],[_Predecessors]]),";",",")," ",""),",",REPT(" ",99)),298,99)))</f>
        <v/>
      </c>
      <c r="DA90" s="42" t="str">
        <f aca="false">IF(Tasks[[#This Row],[_Pred4Text]]="","",IFERROR(VALUE(LEFT(Tasks[[#This Row],[_Pred4Text]],MIN(FIND("F",Tasks[[#This Row],[_Pred4Text]]&amp;"F"),FIND("S",Tasks[[#This Row],[_Pred4Text]]&amp;"S"),FIND("+",Tasks[[#This Row],[_Pred4Text]]&amp;"+"),FIND("-",Tasks[[#This Row],[_Pred4Text]]&amp;"-"))-1)),""))</f>
        <v/>
      </c>
      <c r="DB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0" s="42" t="str">
        <f aca="false">IF(OR(Tasks[[#This Row],[Task Name]]="",Tasks[[#This Row],[_Resources]]=""),"",TRIM(MID(SUBSTITUTE(Tasks[[#This Row],[_Resources]],",",REPT(" ",99)),1,99)))</f>
        <v/>
      </c>
      <c r="DE90" s="42" t="str">
        <f aca="false">IF(Tasks[[#This Row],[_Res1Text]]="","",TRIM(MID(SUBSTITUTE(Tasks[[#This Row],[_Resources]],",",REPT(" ",99)),100,99)))</f>
        <v/>
      </c>
      <c r="DF90" s="42" t="str">
        <f aca="false">IF(Tasks[[#This Row],[_Res2Text]]="","",TRIM(MID(SUBSTITUTE(Tasks[[#This Row],[_Resources]],",",REPT(" ",99)),199,99)))</f>
        <v/>
      </c>
      <c r="DG90" s="42" t="str">
        <f aca="false">IF(Tasks[[#This Row],[_Res3Text]]="","",TRIM(MID(SUBSTITUTE(Tasks[[#This Row],[_Resources]],",",REPT(" ",99)),298,99)))</f>
        <v/>
      </c>
      <c r="DH90" s="42" t="n">
        <f aca="false">IF(Tasks[[#This Row],[_Res1Text]]="",0,IFERROR(MATCH(TRIM(LEFT(Tasks[[#This Row],[_Res1Text]],FIND("[",Tasks[[#This Row],[_Res1Text]]&amp;"[")-1)),res_Name,0),IFERROR(MATCH(TRIM(LEFT(Tasks[[#This Row],[_Res1Text]],FIND("[",Tasks[[#This Row],[_Res1Text]]&amp;"[")-1)),res_Initials,0),0)))</f>
        <v>0</v>
      </c>
      <c r="DI90" s="42" t="n">
        <f aca="false">IF(Tasks[[#This Row],[_Res2Text]]="",0,IFERROR(MATCH(TRIM(LEFT(Tasks[[#This Row],[_Res2Text]],FIND("[",Tasks[[#This Row],[_Res2Text]]&amp;"[")-1)),res_Name,0),IFERROR(MATCH(TRIM(LEFT(Tasks[[#This Row],[_Res2Text]],FIND("[",Tasks[[#This Row],[_Res2Text]]&amp;"[")-1)),res_Initials,0),0)))</f>
        <v>0</v>
      </c>
      <c r="DJ90" s="42" t="n">
        <f aca="false">IF(Tasks[[#This Row],[_Res3Text]]="",0,IFERROR(MATCH(TRIM(LEFT(Tasks[[#This Row],[_Res3Text]],FIND("[",Tasks[[#This Row],[_Res3Text]]&amp;"[")-1)),res_Name,0),IFERROR(MATCH(TRIM(LEFT(Tasks[[#This Row],[_Res3Text]],FIND("[",Tasks[[#This Row],[_Res3Text]]&amp;"[")-1)),res_Initials,0),0)))</f>
        <v>0</v>
      </c>
      <c r="DK90" s="42" t="n">
        <f aca="false">IF(Tasks[[#This Row],[_Res4Text]]="",0,IFERROR(MATCH(TRIM(LEFT(Tasks[[#This Row],[_Res4Text]],FIND("[",Tasks[[#This Row],[_Res4Text]]&amp;"[")-1)),res_Name,0),IFERROR(MATCH(TRIM(LEFT(Tasks[[#This Row],[_Res4Text]],FIND("[",Tasks[[#This Row],[_Res4Text]]&amp;"[")-1)),res_Initials,0),0)))</f>
        <v>0</v>
      </c>
      <c r="DL90" s="42" t="str">
        <f aca="false">IF(Tasks[[#This Row],[_Res1Text]]="","",IF(Tasks[[#This Row],[_Res1Row]]&gt;0,INDEX(res_Name,Tasks[[#This Row],[_Res1Row]]),TRIM(LEFT(Tasks[[#This Row],[_Res1Text]],FIND("[",Tasks[[#This Row],[_Res1Text]]&amp;"[")-1))))</f>
        <v/>
      </c>
      <c r="DM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0" s="42" t="n">
        <f aca="false">IF(NOT(Tasks[[#This Row],[_IsLeaf]]=1),0,(Tasks[[#This Row],[_Resource1]]&lt;&gt;"")+(Tasks[[#This Row],[_Res2]]&lt;&gt;"")+(Tasks[[#This Row],[_Res3]]&lt;&gt;"")+(Tasks[[#This Row],[_Res4]]&lt;&gt;""))</f>
        <v>0</v>
      </c>
      <c r="DO90" s="42" t="str">
        <f aca="false">IF(Tasks[[#This Row],[_Res2Text]]="","",IF(Tasks[[#This Row],[_Res2Row]]&gt;0,INDEX(res_Name,Tasks[[#This Row],[_Res2Row]]),TRIM(LEFT(Tasks[[#This Row],[_Res2Text]],FIND("[",Tasks[[#This Row],[_Res2Text]]&amp;"[")-1))))</f>
        <v/>
      </c>
      <c r="DP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0" s="42" t="n">
        <f aca="false">IF(OR(NOT(Tasks[[#This Row],[_IsLeaf]]=1),Tasks[[#This Row],[_Res2Row]]=0),0,N(Tasks[[#This Row],[_Days]])*HoursPerDay*IF(Tasks[[#This Row],[_Res2Units]]="",DefaultUnits,Tasks[[#This Row],[_Res2Units]]))</f>
        <v>0</v>
      </c>
      <c r="DR90" s="42" t="n">
        <f aca="false">IF(AND(AND(Tasks[[#This Row],[_IsLeaf]]=1,Tasks[[#This Row],[_LeafTotalWork]]&gt;0),Tasks[[#This Row],[_Res2Work]]&gt;0),Tasks[[#This Row],[_Res2Work]]/(Tasks[[#This Row],[_FinishWorkday]]-Tasks[[#This Row],[_StartWorkday]]+1),0)</f>
        <v>0</v>
      </c>
      <c r="DS90" s="42" t="n">
        <f aca="false">Tasks[[#This Row],[_Res2WorkPerWD]]*MAX(0,Tasks[[#This Row],[_StartWorkday]]-1)</f>
        <v>0</v>
      </c>
      <c r="DT90" s="42" t="n">
        <f aca="false">Tasks[[#This Row],[_Res2Work]]*Tasks[[#This Row],[_LeafProgress]]</f>
        <v>0</v>
      </c>
      <c r="DU90" s="42" t="str">
        <f aca="false">IF(Tasks[[#This Row],[_Res3Text]]="","",IF(Tasks[[#This Row],[_Res3Row]]&gt;0,INDEX(res_Name,Tasks[[#This Row],[_Res3Row]]),TRIM(LEFT(Tasks[[#This Row],[_Res3Text]],FIND("[",Tasks[[#This Row],[_Res3Text]]&amp;"[")-1))))</f>
        <v/>
      </c>
      <c r="DV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0" s="42" t="n">
        <f aca="false">IF(OR(NOT(Tasks[[#This Row],[_IsLeaf]]=1),Tasks[[#This Row],[_Res3Row]]=0),0,N(Tasks[[#This Row],[_Days]])*HoursPerDay*IF(Tasks[[#This Row],[_Res3Units]]="",DefaultUnits,Tasks[[#This Row],[_Res3Units]]))</f>
        <v>0</v>
      </c>
      <c r="DX90" s="42" t="n">
        <f aca="false">IF(AND(AND(Tasks[[#This Row],[_IsLeaf]]=1,Tasks[[#This Row],[_LeafTotalWork]]&gt;0),Tasks[[#This Row],[_Res3Work]]&gt;0),Tasks[[#This Row],[_Res3Work]]/(Tasks[[#This Row],[_FinishWorkday]]-Tasks[[#This Row],[_StartWorkday]]+1),0)</f>
        <v>0</v>
      </c>
      <c r="DY90" s="42" t="n">
        <f aca="false">Tasks[[#This Row],[_Res3WorkPerWD]]*MAX(0,Tasks[[#This Row],[_StartWorkday]]-1)</f>
        <v>0</v>
      </c>
      <c r="DZ90" s="42" t="n">
        <f aca="false">Tasks[[#This Row],[_Res3Work]]*Tasks[[#This Row],[_LeafProgress]]</f>
        <v>0</v>
      </c>
      <c r="EA90" s="42" t="str">
        <f aca="false">IF(Tasks[[#This Row],[_Res4Text]]="","",IF(Tasks[[#This Row],[_Res4Row]]&gt;0,INDEX(res_Name,Tasks[[#This Row],[_Res4Row]]),TRIM(LEFT(Tasks[[#This Row],[_Res4Text]],FIND("[",Tasks[[#This Row],[_Res4Text]]&amp;"[")-1))))</f>
        <v/>
      </c>
      <c r="EB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0" s="42" t="n">
        <f aca="false">IF(OR(NOT(Tasks[[#This Row],[_IsLeaf]]=1),Tasks[[#This Row],[_Res4Row]]=0),0,N(Tasks[[#This Row],[_Days]])*HoursPerDay*IF(Tasks[[#This Row],[_Res4Units]]="",DefaultUnits,Tasks[[#This Row],[_Res4Units]]))</f>
        <v>0</v>
      </c>
      <c r="ED90" s="42" t="n">
        <f aca="false">IF(AND(AND(Tasks[[#This Row],[_IsLeaf]]=1,Tasks[[#This Row],[_LeafTotalWork]]&gt;0),Tasks[[#This Row],[_Res4Work]]&gt;0),Tasks[[#This Row],[_Res4Work]]/(Tasks[[#This Row],[_FinishWorkday]]-Tasks[[#This Row],[_StartWorkday]]+1),0)</f>
        <v>0</v>
      </c>
      <c r="EE90" s="42" t="n">
        <f aca="false">Tasks[[#This Row],[_Res4WorkPerWD]]*MAX(0,Tasks[[#This Row],[_StartWorkday]]-1)</f>
        <v>0</v>
      </c>
      <c r="EF90" s="42" t="n">
        <f aca="false">Tasks[[#This Row],[_Res4Work]]*Tasks[[#This Row],[_LeafProgress]]</f>
        <v>0</v>
      </c>
      <c r="EG90" s="42" t="n">
        <f aca="false">IF(ISNUMBER(Tasks[[#This Row],[% Complete]]),Tasks[[#This Row],[% Complete]],IF(Tasks[[#This Row],[Stage]]="",0,IFERROR(INDEX(stg_Pct,MATCH(Tasks[[#This Row],[Stage]],stg_Name,0)),0)))</f>
        <v>0</v>
      </c>
      <c r="EH90" s="42" t="n">
        <f aca="false">IF(NOT(Tasks[[#This Row],[_IsLeaf]]=1),0,IF(N(Tasks[[#This Row],[Actual Finish]])&gt;0,1,MIN(1,Tasks[[#This Row],[_Pct]])))</f>
        <v>0</v>
      </c>
      <c r="EI90" s="42" t="n">
        <f aca="false">IF(OR(NOT(Tasks[[#This Row],[_IsLeaf]]=1),Tasks[[#This Row],[_Res1Row]]=0),0,N(Tasks[[#This Row],[_Days]])*HoursPerDay*IF(Tasks[[#This Row],[_Units1]]="",DefaultUnits,Tasks[[#This Row],[_Units1]]))</f>
        <v>0</v>
      </c>
      <c r="EJ90" s="42" t="n">
        <f aca="false">Tasks[[#This Row],[_LeafWork]]+Tasks[[#This Row],[_Res2Work]]+Tasks[[#This Row],[_Res3Work]]+Tasks[[#This Row],[_Res4Work]]</f>
        <v>0</v>
      </c>
      <c r="EK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0" s="42" t="n">
        <f aca="false">IF(NOT(Tasks[[#This Row],[_IsLeaf]]=1),0,MAX(_xlfn.MAXIFS(Tasks[_Row],Tasks[_Pred1UID],Tasks[[#This Row],[UID]]),_xlfn.MAXIFS(Tasks[_Row],Tasks[_Pred2UID],Tasks[[#This Row],[UID]]),_xlfn.MAXIFS(Tasks[_Row],Tasks[_Pred3UID],Tasks[[#This Row],[UID]]),_xlfn.MAXIFS(Tasks[_Row],Tasks[_Pred4UID],Tasks[[#This Row],[UID]])))</f>
        <v>0</v>
      </c>
      <c r="ET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0" s="89" t="str">
        <f aca="false">IF(NOT(Tasks[[#This Row],[_IsLeaf]]=1),"",IF(N(Tasks[[#This Row],[_Days]])&lt;=0,Tasks[[#This Row],[_LeafLateFinish]],WORKDAY.INTL(Tasks[[#This Row],[_LeafLateFinish]],-(Tasks[[#This Row],[_Days]]-1),WorkWeek,Holidays)))</f>
        <v/>
      </c>
      <c r="EW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0" s="88" t="b">
        <f aca="false">AND(Tasks[[#This Row],[_IsLeaf]]=1,Tasks[[#This Row],[_LeafProgress]]&lt;1,N(Tasks[[#This Row],[_LeafTotalSlack]])&lt;=CriticalSlackDays)</f>
        <v>0</v>
      </c>
      <c r="EY90" s="42" t="n">
        <f aca="false">IF(AND(Tasks[[#This Row],[_IsLeaf]]=1,Tasks[[#This Row],[_ConstraintCode]]=1,Tasks[[#This Row],[Mode]]&lt;&gt;"Manual",N(Tasks[[#This Row],[Actual Start]])=0),MAX(0,N(Tasks[[#This Row],[Free Slack]])),0)</f>
        <v>0</v>
      </c>
      <c r="EZ90" s="89" t="str">
        <f aca="false">IF(NOT(Tasks[[#This Row],[_IsLeaf]]=1),"",IF(Tasks[[#This Row],[_AlapShift]]=0,Tasks[[#This Row],[_LeafCalcStart]],WORKDAY.INTL(Tasks[[#This Row],[_LeafCalcStart]],Tasks[[#This Row],[_AlapShift]],WorkWeek,Holidays)))</f>
        <v/>
      </c>
      <c r="FA90" s="89" t="str">
        <f aca="false">IF(NOT(Tasks[[#This Row],[_IsLeaf]]=1),"",IF(Tasks[[#This Row],[_AlapShift]]=0,Tasks[[#This Row],[_LeafCalcFinish]],WORKDAY.INTL(Tasks[[#This Row],[_LeafCalcFinish]],Tasks[[#This Row],[_AlapShift]],WorkWeek,Holidays)))</f>
        <v/>
      </c>
      <c r="FB90" s="89" t="str">
        <f aca="false">IF(NOT(Tasks[[#This Row],[_IsLeaf]]=1),"",IF(Tasks[[#This Row],[_AlapShift]]=0,Tasks[[#This Row],[_LeafFcstStart]],WORKDAY.INTL(Tasks[[#This Row],[_LeafFcstStart]],Tasks[[#This Row],[_AlapShift]],WorkWeek,Holidays)))</f>
        <v/>
      </c>
      <c r="FC90" s="89" t="str">
        <f aca="false">IF(NOT(Tasks[[#This Row],[_IsLeaf]]=1),"",IF(Tasks[[#This Row],[_AlapShift]]=0,Tasks[[#This Row],[_LeafFcstFinish]],WORKDAY.INTL(Tasks[[#This Row],[_LeafFcstFinish]],Tasks[[#This Row],[_AlapShift]],WorkWeek,Holidays)))</f>
        <v/>
      </c>
      <c r="FD90" s="89" t="str">
        <f aca="false">IF(Tasks[[#This Row],[Task Name]]="","",IF(Tasks[[#This Row],[_IsSummary]],MIN(INDEX(Tasks[_ShownCalcStart],Tasks[[#This Row],[_Row]]+1):INDEX(Tasks[_ShownCalcStart],Tasks[[#This Row],[_Row]]+Tasks[[#This Row],[_Descendants]])),Tasks[[#This Row],[_ShownCalcStart]]))</f>
        <v/>
      </c>
      <c r="FE90" s="89" t="str">
        <f aca="false">IF(Tasks[[#This Row],[Task Name]]="","",IF(Tasks[[#This Row],[_IsSummary]],MAX(INDEX(Tasks[_ShownCalcFinish],Tasks[[#This Row],[_Row]]+1):INDEX(Tasks[_ShownCalcFinish],Tasks[[#This Row],[_Row]]+Tasks[[#This Row],[_Descendants]])),Tasks[[#This Row],[_ShownCalcFinish]]))</f>
        <v/>
      </c>
      <c r="FF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0" s="42" t="n">
        <f aca="false">IF(AND(Tasks[[#This Row],[_IsLeaf]]=1,Tasks[[#This Row],[_LeafTotalWork]]&gt;0),NETWORKDAYS.INTL(ProjectStart,Tasks[[#This Row],[_ShownFcstStart]],WorkWeek,Holidays),0)</f>
        <v>0</v>
      </c>
      <c r="FS90" s="42" t="n">
        <f aca="false">IF(AND(Tasks[[#This Row],[_IsLeaf]]=1,Tasks[[#This Row],[_LeafTotalWork]]&gt;0),MAX(Tasks[[#This Row],[_StartWorkday]],NETWORKDAYS.INTL(ProjectStart,Tasks[[#This Row],[_ShownFcstFinish]],WorkWeek,Holidays)),0)</f>
        <v>0</v>
      </c>
      <c r="FT90" s="42" t="n">
        <f aca="false">IF(AND(Tasks[[#This Row],[_IsLeaf]]=1,Tasks[[#This Row],[_LeafTotalWork]]&gt;0),Tasks[[#This Row],[_LeafWork]]/(Tasks[[#This Row],[_FinishWorkday]]-Tasks[[#This Row],[_StartWorkday]]+1),0)</f>
        <v>0</v>
      </c>
      <c r="FU90" s="42" t="n">
        <f aca="false">Tasks[[#This Row],[_WorkPerWorkday]]*(Tasks[[#This Row],[_StartWorkday]]-1)</f>
        <v>-0</v>
      </c>
      <c r="FV90" s="42" t="n">
        <f aca="false">IF(Tasks[[#This Row],[_IsLeaf]]=1,MAX(N(Tasks[[#This Row],[_Days]]),0.1),0)</f>
        <v>0</v>
      </c>
      <c r="FW90" s="42" t="n">
        <f aca="false">Tasks[[#This Row],[_WeightDur]]*Tasks[[#This Row],[_LeafProgress]]</f>
        <v>0</v>
      </c>
      <c r="FX90" s="42" t="n">
        <f aca="false">Tasks[[#This Row],[_WeightDur]]*Tasks[[#This Row],[_PlannedPct]]</f>
        <v>0</v>
      </c>
      <c r="FY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0" s="42" t="str">
        <f aca="false">IF(AND(Tasks[[#This Row],[_IsLeaf]]=1,N(Tasks[[#This Row],[_Days]])=0,Tasks[[#This Row],[_LeafProgress]]&lt;1),Tasks[[#This Row],[_ShownFcstFinish]]+Tasks[[#This Row],[_Row]]/100000,"")</f>
        <v/>
      </c>
      <c r="GA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0" s="42" t="str">
        <f aca="false">IF(Tasks[[#This Row],[Task Name]]="","",LEFT(Tasks[[#This Row],[WBS]],FIND(".",Tasks[[#This Row],[WBS]]&amp;".")-1))</f>
        <v/>
      </c>
      <c r="GC90" s="42" t="str">
        <f aca="false">IF(AND(Tasks[[#This Row],[Task Name]]&lt;&gt;"",Tasks[[#This Row],[_Level]]=1),Tasks[[#This Row],[_Row]],"")</f>
        <v/>
      </c>
      <c r="GD90" s="42" t="str">
        <f aca="false">IF(AND(Tasks[[#This Row],[_IsLeaf]]=1,N(Tasks[[#This Row],[_Days]])=0),Tasks[[#This Row],[Planned Finish]]+Tasks[[#This Row],[_Row]]/100000,"")</f>
        <v/>
      </c>
      <c r="GE90" s="42" t="str">
        <f aca="false">IF(AND(Tasks[[#This Row],[_IsLeaf]]=1,Tasks[[#This Row],[_LeafProgress]]&lt;1,OR(N(Tasks[[#This Row],[Finish Var]])&gt;0,Tasks[[#This Row],[Status]]="Late Start")),MAX(0,Tasks[[#This Row],[Finish Var]])+1-Tasks[[#This Row],[_Row]]/1000000,"")</f>
        <v/>
      </c>
      <c r="GF90" s="42" t="str">
        <f aca="false">IF(AND(Tasks[[#This Row],[_IsLeaf]]=1,N(Tasks[[#This Row],[Actual Start]])=0,Tasks[[#This Row],[_ShownFcstStart]]&gt;=StatusDate,Tasks[[#This Row],[_ShownFcstStart]]&lt;=LookaheadEnd),Tasks[[#This Row],[_ShownFcstStart]]+Tasks[[#This Row],[_Row]]/100000,"")</f>
        <v/>
      </c>
      <c r="GG90" s="42" t="str">
        <f aca="false">IF(AND(Tasks[[#This Row],[_IsLeaf]]=1,Tasks[[#This Row],[_LeafProgress]]&lt;1,Tasks[[#This Row],[_ShownFcstFinish]]&gt;=StatusDate,Tasks[[#This Row],[_ShownFcstFinish]]&lt;=LookaheadEnd),Tasks[[#This Row],[_ShownFcstFinish]]+Tasks[[#This Row],[_Row]]/100000,"")</f>
        <v/>
      </c>
      <c r="GH90" s="42" t="str">
        <f aca="false">IF(Tasks[[#This Row],[_LeafCritical]],Tasks[[#This Row],[_ShownFcstStart]]+Tasks[[#This Row],[_Row]]/100000,"")</f>
        <v/>
      </c>
      <c r="GI90" s="42" t="n">
        <f aca="false">Tasks[[#This Row],[_LeafWork]]*Tasks[[#This Row],[_LeafProgress]]</f>
        <v>0</v>
      </c>
      <c r="GJ90" s="89" t="str">
        <f aca="false">IF(AND(Tasks[[#This Row],[_IsLeaf]]=1,Tasks[[#This Row],[_LeafProgress]]&gt;=1),IF(N(Tasks[[#This Row],[Actual Finish]])&gt;0,Tasks[[#This Row],[Actual Finish]],Tasks[[#This Row],[_ShownFcstFinish]]),"")</f>
        <v/>
      </c>
      <c r="GK90" s="42" t="n">
        <f aca="false">IF(Tasks[[#This Row],[_IsLeaf]]=1,N(Tasks[[#This Row],[Story Points]]),0)</f>
        <v>0</v>
      </c>
      <c r="GL90" s="42" t="str">
        <f aca="false">""</f>
        <v/>
      </c>
      <c r="GM90" s="88" t="b">
        <f aca="false">IF(Tasks[[#This Row],[Task Name]]="",FALSE(),AND(Tasks[[#This Row],[_IsLeaf]]=1,N(Tasks[[#This Row],[_Days]])=0))</f>
        <v>0</v>
      </c>
      <c r="GN90" s="89" t="n">
        <f aca="false">IF(Tasks[[#This Row],[Task Name]]="",0,IF(AND(Tasks[[#This Row],[_IsLeaf]]=1,NOT(Tasks[[#This Row],[_IsMilestone]]),N(Tasks[[#This Row],[Progress]])&gt;0),Tasks[[#This Row],[Start]],0))</f>
        <v>0</v>
      </c>
      <c r="GO90" s="89" t="n">
        <f aca="false">IF(Tasks[[#This Row],[_DoneFrom]]=0,0,IF(Tasks[[#This Row],[Progress]]&gt;=1,Tasks[[#This Row],[Finish]],MAX(Tasks[[#This Row],[_DoneFrom]],Tasks[[#This Row],[Start]]+ROUND((Tasks[[#This Row],[Finish]]-Tasks[[#This Row],[Start]]+1)*Tasks[[#This Row],[Progress]],0)-1)))</f>
        <v>0</v>
      </c>
      <c r="GP90" s="89" t="n">
        <f aca="false">IF(Tasks[[#This Row],[Task Name]]="",0,IF(OR(NOT(Tasks[[#This Row],[_IsLeaf]]=1),Tasks[[#This Row],[_IsMilestone]],N(Tasks[[#This Row],[Progress]])&gt;=1),0,IF(Tasks[[#This Row],[_DoneTo]]&gt;0,Tasks[[#This Row],[_DoneTo]]+1,Tasks[[#This Row],[Start]])))</f>
        <v>0</v>
      </c>
      <c r="GQ90" s="89" t="n">
        <f aca="false">IF(Tasks[[#This Row],[_RemFrom]]=0,0,Tasks[[#This Row],[Finish]])</f>
        <v>0</v>
      </c>
      <c r="GR90" s="88" t="b">
        <f aca="false">IF(Tasks[[#This Row],[Task Name]]="",FALSE(),OR(NOT(BaselineSet),N(Tasks[[#This Row],[Baseline Start]])&gt;0))</f>
        <v>0</v>
      </c>
      <c r="GS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0" s="90" t="str">
        <f aca="false">IF(Tasks[[#This Row],[_IsLeaf]]=1,Tasks[[#This Row],[_Row]],"")</f>
        <v/>
      </c>
      <c r="GW90" s="90" t="str">
        <f aca="false">IFERROR(INDEX(Tasks[UID],SMALL(Tasks[_PickKey],Tasks[[#This Row],[_Row]]))&amp;" "&amp;INDEX(Tasks[Task Name],SMALL(Tasks[_PickKey],Tasks[[#This Row],[_Row]])),"")</f>
        <v/>
      </c>
      <c r="GX90" s="42" t="str">
        <f aca="false">IF(Tasks[[#This Row],[Task Name]]="","",IF(Tasks[[#This Row],[_IsSummary]],NETWORKDAYS.INTL(Tasks[[#This Row],[Start]],Tasks[[#This Row],[Finish]],WorkWeek,Holidays),N(Tasks[[#This Row],[_Days]])))</f>
        <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3"/>
      <c r="U91" s="23"/>
      <c r="V91" s="83"/>
      <c r="W91" s="23"/>
      <c r="X91" s="83"/>
      <c r="Y91" s="23"/>
      <c r="Z91" s="83"/>
      <c r="AA91" s="23"/>
      <c r="AB91" s="23"/>
      <c r="AC91" s="7"/>
      <c r="AD91" s="7"/>
      <c r="AE91" s="62" t="str">
        <f aca="false">IF(Tasks[[#This Row],[Task Name]]="","",IF(Tasks[[#This Row],[_IsSummary]],MIN(INDEX(Tasks[_ShownFcstStart],Tasks[[#This Row],[_Row]]+1):INDEX(Tasks[_ShownFcstStart],Tasks[[#This Row],[_Row]]+Tasks[[#This Row],[_Descendants]])),Tasks[[#This Row],[_ShownFcstStart]]))</f>
        <v/>
      </c>
      <c r="AF91" s="62"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1" s="7"/>
      <c r="AK91" s="22"/>
      <c r="AL91" s="23"/>
      <c r="AM91" s="7"/>
      <c r="AN91" s="46"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2" t="str">
        <f aca="false">IF(Tasks[[#This Row],[Task Name]]="","",IF(N(Tasks[[#This Row],[Baseline Start]])&gt;0,Tasks[[#This Row],[Baseline Start]],Tasks[[#This Row],[_CalcStart]]))</f>
        <v/>
      </c>
      <c r="AR91" s="62" t="str">
        <f aca="false">IF(Tasks[[#This Row],[Task Name]]="","",IF(N(Tasks[[#This Row],[Baseline Finish]])&gt;0,Tasks[[#This Row],[Baseline Finish]],Tasks[[#This Row],[_CalcFinish]]))</f>
        <v/>
      </c>
      <c r="AS91" s="46" t="str">
        <f aca="false">IF(Tasks[[#This Row],[Task Name]]="","",IF(Tasks[[#This Row],[Start]]&gt;=Tasks[[#This Row],[Planned Start]],NETWORKDAYS.INTL(Tasks[[#This Row],[Planned Start]],Tasks[[#This Row],[Start]],WorkWeek,Holidays)-1,1-NETWORKDAYS.INTL(Tasks[[#This Row],[Start]],Tasks[[#This Row],[Planned Start]],WorkWeek,Holidays)))</f>
        <v/>
      </c>
      <c r="AT91" s="62" t="str">
        <f aca="false">IF(Tasks[[#This Row],[Task Name]]="","",IF(Tasks[[#This Row],[_IsSummary]],MIN(INDEX(Tasks[_LeafLateStart],Tasks[[#This Row],[_Row]]+1):INDEX(Tasks[_LeafLateStart],Tasks[[#This Row],[_Row]]+Tasks[[#This Row],[_Descendants]])),Tasks[[#This Row],[_LeafLateStart]]))</f>
        <v/>
      </c>
      <c r="AU91" s="62" t="str">
        <f aca="false">IF(Tasks[[#This Row],[Task Name]]="","",IF(Tasks[[#This Row],[_IsSummary]],MAX(INDEX(Tasks[_LeafLateFinish],Tasks[[#This Row],[_Row]]+1):INDEX(Tasks[_LeafLateFinish],Tasks[[#This Row],[_Row]]+Tasks[[#This Row],[_Descendants]])),Tasks[[#This Row],[_LeafLateFinish]]))</f>
        <v/>
      </c>
      <c r="AV91" s="46"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4"/>
      <c r="BA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5"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6"/>
      <c r="BJ91" s="22"/>
      <c r="BK91" s="46" t="str">
        <f aca="false">IF(OR(Tasks[[#This Row],[Task Name]]="",Tasks[[#This Row],[Baseline Duration]]=""),"",Tasks[[#This Row],[_SpanDays]]-N(Tasks[[#This Row],[Baseline Duration]]))</f>
        <v/>
      </c>
      <c r="BL91" s="85" t="str">
        <f aca="false">IF(OR(Tasks[[#This Row],[Task Name]]="",Tasks[[#This Row],[Baseline Work]]=""),"",Tasks[[#This Row],[Work]]-N(Tasks[[#This Row],[Baseline Work]]))</f>
        <v/>
      </c>
      <c r="BM91" s="62" t="str">
        <f aca="false">IF(Tasks[[#This Row],[Task Name]]="","",IF(OR(TakeBaseline="Yes",N(Tasks[[#This Row],[Baseline Start]])=0),Tasks[[#This Row],[Start]],Tasks[[#This Row],[Baseline Start]]))</f>
        <v/>
      </c>
      <c r="BN91" s="62"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5" t="str">
        <f aca="false">IF(Tasks[[#This Row],[Task Name]]="","",IF(OR(TakeBaseline="Yes",N(Tasks[[#This Row],[Baseline Work]])=0),Tasks[[#This Row],[Work]],Tasks[[#This Row],[Baseline Work]]))</f>
        <v/>
      </c>
      <c r="BQ91" s="7"/>
      <c r="BR91" s="7"/>
      <c r="BS91" s="22"/>
      <c r="BT91" s="87"/>
      <c r="BU91" s="42" t="str">
        <f aca="false">IF(Tasks[[#This Row],[Task Name]]="","",MAX(1,N(Tasks[[#This Row],[Level]])))</f>
        <v/>
      </c>
      <c r="BV91" s="42" t="n">
        <f aca="false">ROW()-ROW(Tasks[[#Headers],[ID]])</f>
        <v>86</v>
      </c>
      <c r="BW91" s="42" t="n">
        <f aca="false">IF(OR(Tasks[[#This Row],[Task Name]]="",Tasks[[#This Row],[_Level]]&lt;=1),0,IFERROR(LOOKUP(2,1/(Tasks[[#Headers],[_Level]]:Tasks[[#This Row],[_Level]]=Tasks[[#This Row],[_Level]]-1),ROW(Tasks[[#Headers],[_Level]]:Tasks[[#This Row],[_Level]])),0))</f>
        <v>0</v>
      </c>
      <c r="BX91" s="42" t="n">
        <f aca="false">IFERROR(N(INDEX(Tasks[_Level],Tasks[[#This Row],[_Row]]+1)),0)</f>
        <v>0</v>
      </c>
      <c r="BY91" s="88" t="b">
        <f aca="false">AND(Tasks[[#This Row],[Task Name]]&lt;&gt;"",Tasks[[#This Row],[_NextLevel]]&gt;Tasks[[#This Row],[_Level]])</f>
        <v>0</v>
      </c>
      <c r="BZ91" s="42" t="n">
        <f aca="false">IF(Tasks[[#This Row],[_IsSummary]],COUNTIF(Tasks[WBS],Tasks[[#This Row],[WBS]]&amp;".*"),0)</f>
        <v>0</v>
      </c>
      <c r="CA91" s="42" t="n">
        <f aca="false">IF(AND(Tasks[[#This Row],[Task Name]]&lt;&gt;"",NOT(Tasks[[#This Row],[_IsSummary]])),1,0)</f>
        <v>0</v>
      </c>
      <c r="CB91" s="42" t="n">
        <f aca="false">IF(N(Tasks[[#This Row],[_Pred1UID]])=0,0,IFERROR(MATCH(Tasks[[#This Row],[_Pred1UID]],Tasks[UID],0),-1))</f>
        <v>0</v>
      </c>
      <c r="CC91" s="42" t="n">
        <f aca="false">IF(N(Tasks[[#This Row],[_Pred2UID]])=0,0,IFERROR(MATCH(Tasks[[#This Row],[_Pred2UID]],Tasks[UID],0),-1))</f>
        <v>0</v>
      </c>
      <c r="CD91" s="42" t="n">
        <f aca="false">IF(N(Tasks[[#This Row],[_Pred3UID]])=0,0,IFERROR(MATCH(Tasks[[#This Row],[_Pred3UID]],Tasks[UID],0),-1))</f>
        <v>0</v>
      </c>
      <c r="CE91" s="42" t="n">
        <f aca="false">IF(N(Tasks[[#This Row],[_Pred4UID]])=0,0,IFERROR(MATCH(Tasks[[#This Row],[_Pred4UID]],Tasks[UID],0),-1))</f>
        <v>0</v>
      </c>
      <c r="CF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1" s="89" t="n">
        <f aca="false">IF(OR(Tasks[[#This Row],[_ConstraintCode]]=2,Tasks[[#This Row],[_ConstraintCode]]=3,Tasks[[#This Row],[_ConstraintCode]]=4,Tasks[[#This Row],[_ConstraintCode]]=6),Tasks[[#This Row],[_ConstraintStart]],0)</f>
        <v>0</v>
      </c>
      <c r="CI91" s="89" t="n">
        <f aca="false">IF(OR(Tasks[[#This Row],[_ConstraintCode]]=2,Tasks[[#This Row],[_ConstraintCode]]=3,Tasks[[#This Row],[_ConstraintCode]]=5,Tasks[[#This Row],[_ConstraintCode]]=7),Tasks[[#This Row],[_ConstraintStart]],2958465)</f>
        <v>2958465</v>
      </c>
      <c r="CJ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1" s="89" t="str">
        <f aca="false">IF(NOT(Tasks[[#This Row],[_IsLeaf]]=1),"",IF(N(Tasks[[#This Row],[_Days]])&lt;=0,Tasks[[#This Row],[_LeafCalcStart]],WORKDAY.INTL(Tasks[[#This Row],[_LeafCalcStart]],Tasks[[#This Row],[_Days]]-1,WorkWeek,Holidays)))</f>
        <v/>
      </c>
      <c r="CL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1" s="42" t="str">
        <f aca="false">IF(Tasks[[#This Row],[_Predecessors]]="","",TRIM(MID(SUBSTITUTE(SUBSTITUTE(SUBSTITUTE(UPPER(Tasks[[#This Row],[_Predecessors]]),";",",")," ",""),",",REPT(" ",99)),1,99)))</f>
        <v/>
      </c>
      <c r="CO91" s="42" t="str">
        <f aca="false">IF(Tasks[[#This Row],[_Pred1Text]]="","",IFERROR(VALUE(LEFT(Tasks[[#This Row],[_Pred1Text]],MIN(FIND("F",Tasks[[#This Row],[_Pred1Text]]&amp;"F"),FIND("S",Tasks[[#This Row],[_Pred1Text]]&amp;"S"),FIND("+",Tasks[[#This Row],[_Pred1Text]]&amp;"+"),FIND("-",Tasks[[#This Row],[_Pred1Text]]&amp;"-"))-1)),""))</f>
        <v/>
      </c>
      <c r="CP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1" s="42" t="str">
        <f aca="false">IF(Tasks[[#This Row],[_Pred1Text]]="","",TRIM(MID(SUBSTITUTE(SUBSTITUTE(SUBSTITUTE(UPPER(Tasks[[#This Row],[_Predecessors]]),";",",")," ",""),",",REPT(" ",99)),100,99)))</f>
        <v/>
      </c>
      <c r="CS91" s="42" t="str">
        <f aca="false">IF(Tasks[[#This Row],[_Pred2Text]]="","",IFERROR(VALUE(LEFT(Tasks[[#This Row],[_Pred2Text]],MIN(FIND("F",Tasks[[#This Row],[_Pred2Text]]&amp;"F"),FIND("S",Tasks[[#This Row],[_Pred2Text]]&amp;"S"),FIND("+",Tasks[[#This Row],[_Pred2Text]]&amp;"+"),FIND("-",Tasks[[#This Row],[_Pred2Text]]&amp;"-"))-1)),""))</f>
        <v/>
      </c>
      <c r="CT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1" s="42" t="str">
        <f aca="false">IF(Tasks[[#This Row],[_Pred2Text]]="","",TRIM(MID(SUBSTITUTE(SUBSTITUTE(SUBSTITUTE(UPPER(Tasks[[#This Row],[_Predecessors]]),";",",")," ",""),",",REPT(" ",99)),199,99)))</f>
        <v/>
      </c>
      <c r="CW91" s="42" t="str">
        <f aca="false">IF(Tasks[[#This Row],[_Pred3Text]]="","",IFERROR(VALUE(LEFT(Tasks[[#This Row],[_Pred3Text]],MIN(FIND("F",Tasks[[#This Row],[_Pred3Text]]&amp;"F"),FIND("S",Tasks[[#This Row],[_Pred3Text]]&amp;"S"),FIND("+",Tasks[[#This Row],[_Pred3Text]]&amp;"+"),FIND("-",Tasks[[#This Row],[_Pred3Text]]&amp;"-"))-1)),""))</f>
        <v/>
      </c>
      <c r="CX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1" s="42" t="str">
        <f aca="false">IF(Tasks[[#This Row],[_Pred3Text]]="","",TRIM(MID(SUBSTITUTE(SUBSTITUTE(SUBSTITUTE(UPPER(Tasks[[#This Row],[_Predecessors]]),";",",")," ",""),",",REPT(" ",99)),298,99)))</f>
        <v/>
      </c>
      <c r="DA91" s="42" t="str">
        <f aca="false">IF(Tasks[[#This Row],[_Pred4Text]]="","",IFERROR(VALUE(LEFT(Tasks[[#This Row],[_Pred4Text]],MIN(FIND("F",Tasks[[#This Row],[_Pred4Text]]&amp;"F"),FIND("S",Tasks[[#This Row],[_Pred4Text]]&amp;"S"),FIND("+",Tasks[[#This Row],[_Pred4Text]]&amp;"+"),FIND("-",Tasks[[#This Row],[_Pred4Text]]&amp;"-"))-1)),""))</f>
        <v/>
      </c>
      <c r="DB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1" s="42" t="str">
        <f aca="false">IF(OR(Tasks[[#This Row],[Task Name]]="",Tasks[[#This Row],[_Resources]]=""),"",TRIM(MID(SUBSTITUTE(Tasks[[#This Row],[_Resources]],",",REPT(" ",99)),1,99)))</f>
        <v/>
      </c>
      <c r="DE91" s="42" t="str">
        <f aca="false">IF(Tasks[[#This Row],[_Res1Text]]="","",TRIM(MID(SUBSTITUTE(Tasks[[#This Row],[_Resources]],",",REPT(" ",99)),100,99)))</f>
        <v/>
      </c>
      <c r="DF91" s="42" t="str">
        <f aca="false">IF(Tasks[[#This Row],[_Res2Text]]="","",TRIM(MID(SUBSTITUTE(Tasks[[#This Row],[_Resources]],",",REPT(" ",99)),199,99)))</f>
        <v/>
      </c>
      <c r="DG91" s="42" t="str">
        <f aca="false">IF(Tasks[[#This Row],[_Res3Text]]="","",TRIM(MID(SUBSTITUTE(Tasks[[#This Row],[_Resources]],",",REPT(" ",99)),298,99)))</f>
        <v/>
      </c>
      <c r="DH91" s="42" t="n">
        <f aca="false">IF(Tasks[[#This Row],[_Res1Text]]="",0,IFERROR(MATCH(TRIM(LEFT(Tasks[[#This Row],[_Res1Text]],FIND("[",Tasks[[#This Row],[_Res1Text]]&amp;"[")-1)),res_Name,0),IFERROR(MATCH(TRIM(LEFT(Tasks[[#This Row],[_Res1Text]],FIND("[",Tasks[[#This Row],[_Res1Text]]&amp;"[")-1)),res_Initials,0),0)))</f>
        <v>0</v>
      </c>
      <c r="DI91" s="42" t="n">
        <f aca="false">IF(Tasks[[#This Row],[_Res2Text]]="",0,IFERROR(MATCH(TRIM(LEFT(Tasks[[#This Row],[_Res2Text]],FIND("[",Tasks[[#This Row],[_Res2Text]]&amp;"[")-1)),res_Name,0),IFERROR(MATCH(TRIM(LEFT(Tasks[[#This Row],[_Res2Text]],FIND("[",Tasks[[#This Row],[_Res2Text]]&amp;"[")-1)),res_Initials,0),0)))</f>
        <v>0</v>
      </c>
      <c r="DJ91" s="42" t="n">
        <f aca="false">IF(Tasks[[#This Row],[_Res3Text]]="",0,IFERROR(MATCH(TRIM(LEFT(Tasks[[#This Row],[_Res3Text]],FIND("[",Tasks[[#This Row],[_Res3Text]]&amp;"[")-1)),res_Name,0),IFERROR(MATCH(TRIM(LEFT(Tasks[[#This Row],[_Res3Text]],FIND("[",Tasks[[#This Row],[_Res3Text]]&amp;"[")-1)),res_Initials,0),0)))</f>
        <v>0</v>
      </c>
      <c r="DK91" s="42" t="n">
        <f aca="false">IF(Tasks[[#This Row],[_Res4Text]]="",0,IFERROR(MATCH(TRIM(LEFT(Tasks[[#This Row],[_Res4Text]],FIND("[",Tasks[[#This Row],[_Res4Text]]&amp;"[")-1)),res_Name,0),IFERROR(MATCH(TRIM(LEFT(Tasks[[#This Row],[_Res4Text]],FIND("[",Tasks[[#This Row],[_Res4Text]]&amp;"[")-1)),res_Initials,0),0)))</f>
        <v>0</v>
      </c>
      <c r="DL91" s="42" t="str">
        <f aca="false">IF(Tasks[[#This Row],[_Res1Text]]="","",IF(Tasks[[#This Row],[_Res1Row]]&gt;0,INDEX(res_Name,Tasks[[#This Row],[_Res1Row]]),TRIM(LEFT(Tasks[[#This Row],[_Res1Text]],FIND("[",Tasks[[#This Row],[_Res1Text]]&amp;"[")-1))))</f>
        <v/>
      </c>
      <c r="DM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1" s="42" t="n">
        <f aca="false">IF(NOT(Tasks[[#This Row],[_IsLeaf]]=1),0,(Tasks[[#This Row],[_Resource1]]&lt;&gt;"")+(Tasks[[#This Row],[_Res2]]&lt;&gt;"")+(Tasks[[#This Row],[_Res3]]&lt;&gt;"")+(Tasks[[#This Row],[_Res4]]&lt;&gt;""))</f>
        <v>0</v>
      </c>
      <c r="DO91" s="42" t="str">
        <f aca="false">IF(Tasks[[#This Row],[_Res2Text]]="","",IF(Tasks[[#This Row],[_Res2Row]]&gt;0,INDEX(res_Name,Tasks[[#This Row],[_Res2Row]]),TRIM(LEFT(Tasks[[#This Row],[_Res2Text]],FIND("[",Tasks[[#This Row],[_Res2Text]]&amp;"[")-1))))</f>
        <v/>
      </c>
      <c r="DP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1" s="42" t="n">
        <f aca="false">IF(OR(NOT(Tasks[[#This Row],[_IsLeaf]]=1),Tasks[[#This Row],[_Res2Row]]=0),0,N(Tasks[[#This Row],[_Days]])*HoursPerDay*IF(Tasks[[#This Row],[_Res2Units]]="",DefaultUnits,Tasks[[#This Row],[_Res2Units]]))</f>
        <v>0</v>
      </c>
      <c r="DR91" s="42" t="n">
        <f aca="false">IF(AND(AND(Tasks[[#This Row],[_IsLeaf]]=1,Tasks[[#This Row],[_LeafTotalWork]]&gt;0),Tasks[[#This Row],[_Res2Work]]&gt;0),Tasks[[#This Row],[_Res2Work]]/(Tasks[[#This Row],[_FinishWorkday]]-Tasks[[#This Row],[_StartWorkday]]+1),0)</f>
        <v>0</v>
      </c>
      <c r="DS91" s="42" t="n">
        <f aca="false">Tasks[[#This Row],[_Res2WorkPerWD]]*MAX(0,Tasks[[#This Row],[_StartWorkday]]-1)</f>
        <v>0</v>
      </c>
      <c r="DT91" s="42" t="n">
        <f aca="false">Tasks[[#This Row],[_Res2Work]]*Tasks[[#This Row],[_LeafProgress]]</f>
        <v>0</v>
      </c>
      <c r="DU91" s="42" t="str">
        <f aca="false">IF(Tasks[[#This Row],[_Res3Text]]="","",IF(Tasks[[#This Row],[_Res3Row]]&gt;0,INDEX(res_Name,Tasks[[#This Row],[_Res3Row]]),TRIM(LEFT(Tasks[[#This Row],[_Res3Text]],FIND("[",Tasks[[#This Row],[_Res3Text]]&amp;"[")-1))))</f>
        <v/>
      </c>
      <c r="DV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1" s="42" t="n">
        <f aca="false">IF(OR(NOT(Tasks[[#This Row],[_IsLeaf]]=1),Tasks[[#This Row],[_Res3Row]]=0),0,N(Tasks[[#This Row],[_Days]])*HoursPerDay*IF(Tasks[[#This Row],[_Res3Units]]="",DefaultUnits,Tasks[[#This Row],[_Res3Units]]))</f>
        <v>0</v>
      </c>
      <c r="DX91" s="42" t="n">
        <f aca="false">IF(AND(AND(Tasks[[#This Row],[_IsLeaf]]=1,Tasks[[#This Row],[_LeafTotalWork]]&gt;0),Tasks[[#This Row],[_Res3Work]]&gt;0),Tasks[[#This Row],[_Res3Work]]/(Tasks[[#This Row],[_FinishWorkday]]-Tasks[[#This Row],[_StartWorkday]]+1),0)</f>
        <v>0</v>
      </c>
      <c r="DY91" s="42" t="n">
        <f aca="false">Tasks[[#This Row],[_Res3WorkPerWD]]*MAX(0,Tasks[[#This Row],[_StartWorkday]]-1)</f>
        <v>0</v>
      </c>
      <c r="DZ91" s="42" t="n">
        <f aca="false">Tasks[[#This Row],[_Res3Work]]*Tasks[[#This Row],[_LeafProgress]]</f>
        <v>0</v>
      </c>
      <c r="EA91" s="42" t="str">
        <f aca="false">IF(Tasks[[#This Row],[_Res4Text]]="","",IF(Tasks[[#This Row],[_Res4Row]]&gt;0,INDEX(res_Name,Tasks[[#This Row],[_Res4Row]]),TRIM(LEFT(Tasks[[#This Row],[_Res4Text]],FIND("[",Tasks[[#This Row],[_Res4Text]]&amp;"[")-1))))</f>
        <v/>
      </c>
      <c r="EB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1" s="42" t="n">
        <f aca="false">IF(OR(NOT(Tasks[[#This Row],[_IsLeaf]]=1),Tasks[[#This Row],[_Res4Row]]=0),0,N(Tasks[[#This Row],[_Days]])*HoursPerDay*IF(Tasks[[#This Row],[_Res4Units]]="",DefaultUnits,Tasks[[#This Row],[_Res4Units]]))</f>
        <v>0</v>
      </c>
      <c r="ED91" s="42" t="n">
        <f aca="false">IF(AND(AND(Tasks[[#This Row],[_IsLeaf]]=1,Tasks[[#This Row],[_LeafTotalWork]]&gt;0),Tasks[[#This Row],[_Res4Work]]&gt;0),Tasks[[#This Row],[_Res4Work]]/(Tasks[[#This Row],[_FinishWorkday]]-Tasks[[#This Row],[_StartWorkday]]+1),0)</f>
        <v>0</v>
      </c>
      <c r="EE91" s="42" t="n">
        <f aca="false">Tasks[[#This Row],[_Res4WorkPerWD]]*MAX(0,Tasks[[#This Row],[_StartWorkday]]-1)</f>
        <v>0</v>
      </c>
      <c r="EF91" s="42" t="n">
        <f aca="false">Tasks[[#This Row],[_Res4Work]]*Tasks[[#This Row],[_LeafProgress]]</f>
        <v>0</v>
      </c>
      <c r="EG91" s="42" t="n">
        <f aca="false">IF(ISNUMBER(Tasks[[#This Row],[% Complete]]),Tasks[[#This Row],[% Complete]],IF(Tasks[[#This Row],[Stage]]="",0,IFERROR(INDEX(stg_Pct,MATCH(Tasks[[#This Row],[Stage]],stg_Name,0)),0)))</f>
        <v>0</v>
      </c>
      <c r="EH91" s="42" t="n">
        <f aca="false">IF(NOT(Tasks[[#This Row],[_IsLeaf]]=1),0,IF(N(Tasks[[#This Row],[Actual Finish]])&gt;0,1,MIN(1,Tasks[[#This Row],[_Pct]])))</f>
        <v>0</v>
      </c>
      <c r="EI91" s="42" t="n">
        <f aca="false">IF(OR(NOT(Tasks[[#This Row],[_IsLeaf]]=1),Tasks[[#This Row],[_Res1Row]]=0),0,N(Tasks[[#This Row],[_Days]])*HoursPerDay*IF(Tasks[[#This Row],[_Units1]]="",DefaultUnits,Tasks[[#This Row],[_Units1]]))</f>
        <v>0</v>
      </c>
      <c r="EJ91" s="42" t="n">
        <f aca="false">Tasks[[#This Row],[_LeafWork]]+Tasks[[#This Row],[_Res2Work]]+Tasks[[#This Row],[_Res3Work]]+Tasks[[#This Row],[_Res4Work]]</f>
        <v>0</v>
      </c>
      <c r="EK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1" s="42" t="n">
        <f aca="false">IF(NOT(Tasks[[#This Row],[_IsLeaf]]=1),0,MAX(_xlfn.MAXIFS(Tasks[_Row],Tasks[_Pred1UID],Tasks[[#This Row],[UID]]),_xlfn.MAXIFS(Tasks[_Row],Tasks[_Pred2UID],Tasks[[#This Row],[UID]]),_xlfn.MAXIFS(Tasks[_Row],Tasks[_Pred3UID],Tasks[[#This Row],[UID]]),_xlfn.MAXIFS(Tasks[_Row],Tasks[_Pred4UID],Tasks[[#This Row],[UID]])))</f>
        <v>0</v>
      </c>
      <c r="ET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1" s="89" t="str">
        <f aca="false">IF(NOT(Tasks[[#This Row],[_IsLeaf]]=1),"",IF(N(Tasks[[#This Row],[_Days]])&lt;=0,Tasks[[#This Row],[_LeafLateFinish]],WORKDAY.INTL(Tasks[[#This Row],[_LeafLateFinish]],-(Tasks[[#This Row],[_Days]]-1),WorkWeek,Holidays)))</f>
        <v/>
      </c>
      <c r="EW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1" s="88" t="b">
        <f aca="false">AND(Tasks[[#This Row],[_IsLeaf]]=1,Tasks[[#This Row],[_LeafProgress]]&lt;1,N(Tasks[[#This Row],[_LeafTotalSlack]])&lt;=CriticalSlackDays)</f>
        <v>0</v>
      </c>
      <c r="EY91" s="42" t="n">
        <f aca="false">IF(AND(Tasks[[#This Row],[_IsLeaf]]=1,Tasks[[#This Row],[_ConstraintCode]]=1,Tasks[[#This Row],[Mode]]&lt;&gt;"Manual",N(Tasks[[#This Row],[Actual Start]])=0),MAX(0,N(Tasks[[#This Row],[Free Slack]])),0)</f>
        <v>0</v>
      </c>
      <c r="EZ91" s="89" t="str">
        <f aca="false">IF(NOT(Tasks[[#This Row],[_IsLeaf]]=1),"",IF(Tasks[[#This Row],[_AlapShift]]=0,Tasks[[#This Row],[_LeafCalcStart]],WORKDAY.INTL(Tasks[[#This Row],[_LeafCalcStart]],Tasks[[#This Row],[_AlapShift]],WorkWeek,Holidays)))</f>
        <v/>
      </c>
      <c r="FA91" s="89" t="str">
        <f aca="false">IF(NOT(Tasks[[#This Row],[_IsLeaf]]=1),"",IF(Tasks[[#This Row],[_AlapShift]]=0,Tasks[[#This Row],[_LeafCalcFinish]],WORKDAY.INTL(Tasks[[#This Row],[_LeafCalcFinish]],Tasks[[#This Row],[_AlapShift]],WorkWeek,Holidays)))</f>
        <v/>
      </c>
      <c r="FB91" s="89" t="str">
        <f aca="false">IF(NOT(Tasks[[#This Row],[_IsLeaf]]=1),"",IF(Tasks[[#This Row],[_AlapShift]]=0,Tasks[[#This Row],[_LeafFcstStart]],WORKDAY.INTL(Tasks[[#This Row],[_LeafFcstStart]],Tasks[[#This Row],[_AlapShift]],WorkWeek,Holidays)))</f>
        <v/>
      </c>
      <c r="FC91" s="89" t="str">
        <f aca="false">IF(NOT(Tasks[[#This Row],[_IsLeaf]]=1),"",IF(Tasks[[#This Row],[_AlapShift]]=0,Tasks[[#This Row],[_LeafFcstFinish]],WORKDAY.INTL(Tasks[[#This Row],[_LeafFcstFinish]],Tasks[[#This Row],[_AlapShift]],WorkWeek,Holidays)))</f>
        <v/>
      </c>
      <c r="FD91" s="89" t="str">
        <f aca="false">IF(Tasks[[#This Row],[Task Name]]="","",IF(Tasks[[#This Row],[_IsSummary]],MIN(INDEX(Tasks[_ShownCalcStart],Tasks[[#This Row],[_Row]]+1):INDEX(Tasks[_ShownCalcStart],Tasks[[#This Row],[_Row]]+Tasks[[#This Row],[_Descendants]])),Tasks[[#This Row],[_ShownCalcStart]]))</f>
        <v/>
      </c>
      <c r="FE91" s="89" t="str">
        <f aca="false">IF(Tasks[[#This Row],[Task Name]]="","",IF(Tasks[[#This Row],[_IsSummary]],MAX(INDEX(Tasks[_ShownCalcFinish],Tasks[[#This Row],[_Row]]+1):INDEX(Tasks[_ShownCalcFinish],Tasks[[#This Row],[_Row]]+Tasks[[#This Row],[_Descendants]])),Tasks[[#This Row],[_ShownCalcFinish]]))</f>
        <v/>
      </c>
      <c r="FF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1" s="42" t="n">
        <f aca="false">IF(AND(Tasks[[#This Row],[_IsLeaf]]=1,Tasks[[#This Row],[_LeafTotalWork]]&gt;0),NETWORKDAYS.INTL(ProjectStart,Tasks[[#This Row],[_ShownFcstStart]],WorkWeek,Holidays),0)</f>
        <v>0</v>
      </c>
      <c r="FS91" s="42" t="n">
        <f aca="false">IF(AND(Tasks[[#This Row],[_IsLeaf]]=1,Tasks[[#This Row],[_LeafTotalWork]]&gt;0),MAX(Tasks[[#This Row],[_StartWorkday]],NETWORKDAYS.INTL(ProjectStart,Tasks[[#This Row],[_ShownFcstFinish]],WorkWeek,Holidays)),0)</f>
        <v>0</v>
      </c>
      <c r="FT91" s="42" t="n">
        <f aca="false">IF(AND(Tasks[[#This Row],[_IsLeaf]]=1,Tasks[[#This Row],[_LeafTotalWork]]&gt;0),Tasks[[#This Row],[_LeafWork]]/(Tasks[[#This Row],[_FinishWorkday]]-Tasks[[#This Row],[_StartWorkday]]+1),0)</f>
        <v>0</v>
      </c>
      <c r="FU91" s="42" t="n">
        <f aca="false">Tasks[[#This Row],[_WorkPerWorkday]]*(Tasks[[#This Row],[_StartWorkday]]-1)</f>
        <v>-0</v>
      </c>
      <c r="FV91" s="42" t="n">
        <f aca="false">IF(Tasks[[#This Row],[_IsLeaf]]=1,MAX(N(Tasks[[#This Row],[_Days]]),0.1),0)</f>
        <v>0</v>
      </c>
      <c r="FW91" s="42" t="n">
        <f aca="false">Tasks[[#This Row],[_WeightDur]]*Tasks[[#This Row],[_LeafProgress]]</f>
        <v>0</v>
      </c>
      <c r="FX91" s="42" t="n">
        <f aca="false">Tasks[[#This Row],[_WeightDur]]*Tasks[[#This Row],[_PlannedPct]]</f>
        <v>0</v>
      </c>
      <c r="FY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1" s="42" t="str">
        <f aca="false">IF(AND(Tasks[[#This Row],[_IsLeaf]]=1,N(Tasks[[#This Row],[_Days]])=0,Tasks[[#This Row],[_LeafProgress]]&lt;1),Tasks[[#This Row],[_ShownFcstFinish]]+Tasks[[#This Row],[_Row]]/100000,"")</f>
        <v/>
      </c>
      <c r="GA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1" s="42" t="str">
        <f aca="false">IF(Tasks[[#This Row],[Task Name]]="","",LEFT(Tasks[[#This Row],[WBS]],FIND(".",Tasks[[#This Row],[WBS]]&amp;".")-1))</f>
        <v/>
      </c>
      <c r="GC91" s="42" t="str">
        <f aca="false">IF(AND(Tasks[[#This Row],[Task Name]]&lt;&gt;"",Tasks[[#This Row],[_Level]]=1),Tasks[[#This Row],[_Row]],"")</f>
        <v/>
      </c>
      <c r="GD91" s="42" t="str">
        <f aca="false">IF(AND(Tasks[[#This Row],[_IsLeaf]]=1,N(Tasks[[#This Row],[_Days]])=0),Tasks[[#This Row],[Planned Finish]]+Tasks[[#This Row],[_Row]]/100000,"")</f>
        <v/>
      </c>
      <c r="GE91" s="42" t="str">
        <f aca="false">IF(AND(Tasks[[#This Row],[_IsLeaf]]=1,Tasks[[#This Row],[_LeafProgress]]&lt;1,OR(N(Tasks[[#This Row],[Finish Var]])&gt;0,Tasks[[#This Row],[Status]]="Late Start")),MAX(0,Tasks[[#This Row],[Finish Var]])+1-Tasks[[#This Row],[_Row]]/1000000,"")</f>
        <v/>
      </c>
      <c r="GF91" s="42" t="str">
        <f aca="false">IF(AND(Tasks[[#This Row],[_IsLeaf]]=1,N(Tasks[[#This Row],[Actual Start]])=0,Tasks[[#This Row],[_ShownFcstStart]]&gt;=StatusDate,Tasks[[#This Row],[_ShownFcstStart]]&lt;=LookaheadEnd),Tasks[[#This Row],[_ShownFcstStart]]+Tasks[[#This Row],[_Row]]/100000,"")</f>
        <v/>
      </c>
      <c r="GG91" s="42" t="str">
        <f aca="false">IF(AND(Tasks[[#This Row],[_IsLeaf]]=1,Tasks[[#This Row],[_LeafProgress]]&lt;1,Tasks[[#This Row],[_ShownFcstFinish]]&gt;=StatusDate,Tasks[[#This Row],[_ShownFcstFinish]]&lt;=LookaheadEnd),Tasks[[#This Row],[_ShownFcstFinish]]+Tasks[[#This Row],[_Row]]/100000,"")</f>
        <v/>
      </c>
      <c r="GH91" s="42" t="str">
        <f aca="false">IF(Tasks[[#This Row],[_LeafCritical]],Tasks[[#This Row],[_ShownFcstStart]]+Tasks[[#This Row],[_Row]]/100000,"")</f>
        <v/>
      </c>
      <c r="GI91" s="42" t="n">
        <f aca="false">Tasks[[#This Row],[_LeafWork]]*Tasks[[#This Row],[_LeafProgress]]</f>
        <v>0</v>
      </c>
      <c r="GJ91" s="89" t="str">
        <f aca="false">IF(AND(Tasks[[#This Row],[_IsLeaf]]=1,Tasks[[#This Row],[_LeafProgress]]&gt;=1),IF(N(Tasks[[#This Row],[Actual Finish]])&gt;0,Tasks[[#This Row],[Actual Finish]],Tasks[[#This Row],[_ShownFcstFinish]]),"")</f>
        <v/>
      </c>
      <c r="GK91" s="42" t="n">
        <f aca="false">IF(Tasks[[#This Row],[_IsLeaf]]=1,N(Tasks[[#This Row],[Story Points]]),0)</f>
        <v>0</v>
      </c>
      <c r="GL91" s="42" t="str">
        <f aca="false">""</f>
        <v/>
      </c>
      <c r="GM91" s="88" t="b">
        <f aca="false">IF(Tasks[[#This Row],[Task Name]]="",FALSE(),AND(Tasks[[#This Row],[_IsLeaf]]=1,N(Tasks[[#This Row],[_Days]])=0))</f>
        <v>0</v>
      </c>
      <c r="GN91" s="89" t="n">
        <f aca="false">IF(Tasks[[#This Row],[Task Name]]="",0,IF(AND(Tasks[[#This Row],[_IsLeaf]]=1,NOT(Tasks[[#This Row],[_IsMilestone]]),N(Tasks[[#This Row],[Progress]])&gt;0),Tasks[[#This Row],[Start]],0))</f>
        <v>0</v>
      </c>
      <c r="GO91" s="89" t="n">
        <f aca="false">IF(Tasks[[#This Row],[_DoneFrom]]=0,0,IF(Tasks[[#This Row],[Progress]]&gt;=1,Tasks[[#This Row],[Finish]],MAX(Tasks[[#This Row],[_DoneFrom]],Tasks[[#This Row],[Start]]+ROUND((Tasks[[#This Row],[Finish]]-Tasks[[#This Row],[Start]]+1)*Tasks[[#This Row],[Progress]],0)-1)))</f>
        <v>0</v>
      </c>
      <c r="GP91" s="89" t="n">
        <f aca="false">IF(Tasks[[#This Row],[Task Name]]="",0,IF(OR(NOT(Tasks[[#This Row],[_IsLeaf]]=1),Tasks[[#This Row],[_IsMilestone]],N(Tasks[[#This Row],[Progress]])&gt;=1),0,IF(Tasks[[#This Row],[_DoneTo]]&gt;0,Tasks[[#This Row],[_DoneTo]]+1,Tasks[[#This Row],[Start]])))</f>
        <v>0</v>
      </c>
      <c r="GQ91" s="89" t="n">
        <f aca="false">IF(Tasks[[#This Row],[_RemFrom]]=0,0,Tasks[[#This Row],[Finish]])</f>
        <v>0</v>
      </c>
      <c r="GR91" s="88" t="b">
        <f aca="false">IF(Tasks[[#This Row],[Task Name]]="",FALSE(),OR(NOT(BaselineSet),N(Tasks[[#This Row],[Baseline Start]])&gt;0))</f>
        <v>0</v>
      </c>
      <c r="GS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1" s="90" t="str">
        <f aca="false">IF(Tasks[[#This Row],[_IsLeaf]]=1,Tasks[[#This Row],[_Row]],"")</f>
        <v/>
      </c>
      <c r="GW91" s="90" t="str">
        <f aca="false">IFERROR(INDEX(Tasks[UID],SMALL(Tasks[_PickKey],Tasks[[#This Row],[_Row]]))&amp;" "&amp;INDEX(Tasks[Task Name],SMALL(Tasks[_PickKey],Tasks[[#This Row],[_Row]])),"")</f>
        <v/>
      </c>
      <c r="GX91" s="42" t="str">
        <f aca="false">IF(Tasks[[#This Row],[Task Name]]="","",IF(Tasks[[#This Row],[_IsSummary]],NETWORKDAYS.INTL(Tasks[[#This Row],[Start]],Tasks[[#This Row],[Finish]],WorkWeek,Holidays),N(Tasks[[#This Row],[_Days]])))</f>
        <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3"/>
      <c r="U92" s="23"/>
      <c r="V92" s="83"/>
      <c r="W92" s="23"/>
      <c r="X92" s="83"/>
      <c r="Y92" s="23"/>
      <c r="Z92" s="83"/>
      <c r="AA92" s="23"/>
      <c r="AB92" s="23"/>
      <c r="AC92" s="7"/>
      <c r="AD92" s="7"/>
      <c r="AE92" s="62" t="str">
        <f aca="false">IF(Tasks[[#This Row],[Task Name]]="","",IF(Tasks[[#This Row],[_IsSummary]],MIN(INDEX(Tasks[_ShownFcstStart],Tasks[[#This Row],[_Row]]+1):INDEX(Tasks[_ShownFcstStart],Tasks[[#This Row],[_Row]]+Tasks[[#This Row],[_Descendants]])),Tasks[[#This Row],[_ShownFcstStart]]))</f>
        <v/>
      </c>
      <c r="AF92" s="62"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2" s="7"/>
      <c r="AK92" s="22"/>
      <c r="AL92" s="23"/>
      <c r="AM92" s="7"/>
      <c r="AN92" s="46"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2" t="str">
        <f aca="false">IF(Tasks[[#This Row],[Task Name]]="","",IF(N(Tasks[[#This Row],[Baseline Start]])&gt;0,Tasks[[#This Row],[Baseline Start]],Tasks[[#This Row],[_CalcStart]]))</f>
        <v/>
      </c>
      <c r="AR92" s="62" t="str">
        <f aca="false">IF(Tasks[[#This Row],[Task Name]]="","",IF(N(Tasks[[#This Row],[Baseline Finish]])&gt;0,Tasks[[#This Row],[Baseline Finish]],Tasks[[#This Row],[_CalcFinish]]))</f>
        <v/>
      </c>
      <c r="AS92" s="46" t="str">
        <f aca="false">IF(Tasks[[#This Row],[Task Name]]="","",IF(Tasks[[#This Row],[Start]]&gt;=Tasks[[#This Row],[Planned Start]],NETWORKDAYS.INTL(Tasks[[#This Row],[Planned Start]],Tasks[[#This Row],[Start]],WorkWeek,Holidays)-1,1-NETWORKDAYS.INTL(Tasks[[#This Row],[Start]],Tasks[[#This Row],[Planned Start]],WorkWeek,Holidays)))</f>
        <v/>
      </c>
      <c r="AT92" s="62" t="str">
        <f aca="false">IF(Tasks[[#This Row],[Task Name]]="","",IF(Tasks[[#This Row],[_IsSummary]],MIN(INDEX(Tasks[_LeafLateStart],Tasks[[#This Row],[_Row]]+1):INDEX(Tasks[_LeafLateStart],Tasks[[#This Row],[_Row]]+Tasks[[#This Row],[_Descendants]])),Tasks[[#This Row],[_LeafLateStart]]))</f>
        <v/>
      </c>
      <c r="AU92" s="62" t="str">
        <f aca="false">IF(Tasks[[#This Row],[Task Name]]="","",IF(Tasks[[#This Row],[_IsSummary]],MAX(INDEX(Tasks[_LeafLateFinish],Tasks[[#This Row],[_Row]]+1):INDEX(Tasks[_LeafLateFinish],Tasks[[#This Row],[_Row]]+Tasks[[#This Row],[_Descendants]])),Tasks[[#This Row],[_LeafLateFinish]]))</f>
        <v/>
      </c>
      <c r="AV92" s="46"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4"/>
      <c r="BA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5"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6"/>
      <c r="BJ92" s="22"/>
      <c r="BK92" s="46" t="str">
        <f aca="false">IF(OR(Tasks[[#This Row],[Task Name]]="",Tasks[[#This Row],[Baseline Duration]]=""),"",Tasks[[#This Row],[_SpanDays]]-N(Tasks[[#This Row],[Baseline Duration]]))</f>
        <v/>
      </c>
      <c r="BL92" s="85" t="str">
        <f aca="false">IF(OR(Tasks[[#This Row],[Task Name]]="",Tasks[[#This Row],[Baseline Work]]=""),"",Tasks[[#This Row],[Work]]-N(Tasks[[#This Row],[Baseline Work]]))</f>
        <v/>
      </c>
      <c r="BM92" s="62" t="str">
        <f aca="false">IF(Tasks[[#This Row],[Task Name]]="","",IF(OR(TakeBaseline="Yes",N(Tasks[[#This Row],[Baseline Start]])=0),Tasks[[#This Row],[Start]],Tasks[[#This Row],[Baseline Start]]))</f>
        <v/>
      </c>
      <c r="BN92" s="62"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5" t="str">
        <f aca="false">IF(Tasks[[#This Row],[Task Name]]="","",IF(OR(TakeBaseline="Yes",N(Tasks[[#This Row],[Baseline Work]])=0),Tasks[[#This Row],[Work]],Tasks[[#This Row],[Baseline Work]]))</f>
        <v/>
      </c>
      <c r="BQ92" s="7"/>
      <c r="BR92" s="7"/>
      <c r="BS92" s="22"/>
      <c r="BT92" s="87"/>
      <c r="BU92" s="42" t="str">
        <f aca="false">IF(Tasks[[#This Row],[Task Name]]="","",MAX(1,N(Tasks[[#This Row],[Level]])))</f>
        <v/>
      </c>
      <c r="BV92" s="42" t="n">
        <f aca="false">ROW()-ROW(Tasks[[#Headers],[ID]])</f>
        <v>87</v>
      </c>
      <c r="BW92" s="42" t="n">
        <f aca="false">IF(OR(Tasks[[#This Row],[Task Name]]="",Tasks[[#This Row],[_Level]]&lt;=1),0,IFERROR(LOOKUP(2,1/(Tasks[[#Headers],[_Level]]:Tasks[[#This Row],[_Level]]=Tasks[[#This Row],[_Level]]-1),ROW(Tasks[[#Headers],[_Level]]:Tasks[[#This Row],[_Level]])),0))</f>
        <v>0</v>
      </c>
      <c r="BX92" s="42" t="n">
        <f aca="false">IFERROR(N(INDEX(Tasks[_Level],Tasks[[#This Row],[_Row]]+1)),0)</f>
        <v>0</v>
      </c>
      <c r="BY92" s="88" t="b">
        <f aca="false">AND(Tasks[[#This Row],[Task Name]]&lt;&gt;"",Tasks[[#This Row],[_NextLevel]]&gt;Tasks[[#This Row],[_Level]])</f>
        <v>0</v>
      </c>
      <c r="BZ92" s="42" t="n">
        <f aca="false">IF(Tasks[[#This Row],[_IsSummary]],COUNTIF(Tasks[WBS],Tasks[[#This Row],[WBS]]&amp;".*"),0)</f>
        <v>0</v>
      </c>
      <c r="CA92" s="42" t="n">
        <f aca="false">IF(AND(Tasks[[#This Row],[Task Name]]&lt;&gt;"",NOT(Tasks[[#This Row],[_IsSummary]])),1,0)</f>
        <v>0</v>
      </c>
      <c r="CB92" s="42" t="n">
        <f aca="false">IF(N(Tasks[[#This Row],[_Pred1UID]])=0,0,IFERROR(MATCH(Tasks[[#This Row],[_Pred1UID]],Tasks[UID],0),-1))</f>
        <v>0</v>
      </c>
      <c r="CC92" s="42" t="n">
        <f aca="false">IF(N(Tasks[[#This Row],[_Pred2UID]])=0,0,IFERROR(MATCH(Tasks[[#This Row],[_Pred2UID]],Tasks[UID],0),-1))</f>
        <v>0</v>
      </c>
      <c r="CD92" s="42" t="n">
        <f aca="false">IF(N(Tasks[[#This Row],[_Pred3UID]])=0,0,IFERROR(MATCH(Tasks[[#This Row],[_Pred3UID]],Tasks[UID],0),-1))</f>
        <v>0</v>
      </c>
      <c r="CE92" s="42" t="n">
        <f aca="false">IF(N(Tasks[[#This Row],[_Pred4UID]])=0,0,IFERROR(MATCH(Tasks[[#This Row],[_Pred4UID]],Tasks[UID],0),-1))</f>
        <v>0</v>
      </c>
      <c r="CF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2" s="89" t="n">
        <f aca="false">IF(OR(Tasks[[#This Row],[_ConstraintCode]]=2,Tasks[[#This Row],[_ConstraintCode]]=3,Tasks[[#This Row],[_ConstraintCode]]=4,Tasks[[#This Row],[_ConstraintCode]]=6),Tasks[[#This Row],[_ConstraintStart]],0)</f>
        <v>0</v>
      </c>
      <c r="CI92" s="89" t="n">
        <f aca="false">IF(OR(Tasks[[#This Row],[_ConstraintCode]]=2,Tasks[[#This Row],[_ConstraintCode]]=3,Tasks[[#This Row],[_ConstraintCode]]=5,Tasks[[#This Row],[_ConstraintCode]]=7),Tasks[[#This Row],[_ConstraintStart]],2958465)</f>
        <v>2958465</v>
      </c>
      <c r="CJ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2" s="89" t="str">
        <f aca="false">IF(NOT(Tasks[[#This Row],[_IsLeaf]]=1),"",IF(N(Tasks[[#This Row],[_Days]])&lt;=0,Tasks[[#This Row],[_LeafCalcStart]],WORKDAY.INTL(Tasks[[#This Row],[_LeafCalcStart]],Tasks[[#This Row],[_Days]]-1,WorkWeek,Holidays)))</f>
        <v/>
      </c>
      <c r="CL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2" s="42" t="str">
        <f aca="false">IF(Tasks[[#This Row],[_Predecessors]]="","",TRIM(MID(SUBSTITUTE(SUBSTITUTE(SUBSTITUTE(UPPER(Tasks[[#This Row],[_Predecessors]]),";",",")," ",""),",",REPT(" ",99)),1,99)))</f>
        <v/>
      </c>
      <c r="CO92" s="42" t="str">
        <f aca="false">IF(Tasks[[#This Row],[_Pred1Text]]="","",IFERROR(VALUE(LEFT(Tasks[[#This Row],[_Pred1Text]],MIN(FIND("F",Tasks[[#This Row],[_Pred1Text]]&amp;"F"),FIND("S",Tasks[[#This Row],[_Pred1Text]]&amp;"S"),FIND("+",Tasks[[#This Row],[_Pred1Text]]&amp;"+"),FIND("-",Tasks[[#This Row],[_Pred1Text]]&amp;"-"))-1)),""))</f>
        <v/>
      </c>
      <c r="CP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2" s="42" t="str">
        <f aca="false">IF(Tasks[[#This Row],[_Pred1Text]]="","",TRIM(MID(SUBSTITUTE(SUBSTITUTE(SUBSTITUTE(UPPER(Tasks[[#This Row],[_Predecessors]]),";",",")," ",""),",",REPT(" ",99)),100,99)))</f>
        <v/>
      </c>
      <c r="CS92" s="42" t="str">
        <f aca="false">IF(Tasks[[#This Row],[_Pred2Text]]="","",IFERROR(VALUE(LEFT(Tasks[[#This Row],[_Pred2Text]],MIN(FIND("F",Tasks[[#This Row],[_Pred2Text]]&amp;"F"),FIND("S",Tasks[[#This Row],[_Pred2Text]]&amp;"S"),FIND("+",Tasks[[#This Row],[_Pred2Text]]&amp;"+"),FIND("-",Tasks[[#This Row],[_Pred2Text]]&amp;"-"))-1)),""))</f>
        <v/>
      </c>
      <c r="CT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2" s="42" t="str">
        <f aca="false">IF(Tasks[[#This Row],[_Pred2Text]]="","",TRIM(MID(SUBSTITUTE(SUBSTITUTE(SUBSTITUTE(UPPER(Tasks[[#This Row],[_Predecessors]]),";",",")," ",""),",",REPT(" ",99)),199,99)))</f>
        <v/>
      </c>
      <c r="CW92" s="42" t="str">
        <f aca="false">IF(Tasks[[#This Row],[_Pred3Text]]="","",IFERROR(VALUE(LEFT(Tasks[[#This Row],[_Pred3Text]],MIN(FIND("F",Tasks[[#This Row],[_Pred3Text]]&amp;"F"),FIND("S",Tasks[[#This Row],[_Pred3Text]]&amp;"S"),FIND("+",Tasks[[#This Row],[_Pred3Text]]&amp;"+"),FIND("-",Tasks[[#This Row],[_Pred3Text]]&amp;"-"))-1)),""))</f>
        <v/>
      </c>
      <c r="CX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2" s="42" t="str">
        <f aca="false">IF(Tasks[[#This Row],[_Pred3Text]]="","",TRIM(MID(SUBSTITUTE(SUBSTITUTE(SUBSTITUTE(UPPER(Tasks[[#This Row],[_Predecessors]]),";",",")," ",""),",",REPT(" ",99)),298,99)))</f>
        <v/>
      </c>
      <c r="DA92" s="42" t="str">
        <f aca="false">IF(Tasks[[#This Row],[_Pred4Text]]="","",IFERROR(VALUE(LEFT(Tasks[[#This Row],[_Pred4Text]],MIN(FIND("F",Tasks[[#This Row],[_Pred4Text]]&amp;"F"),FIND("S",Tasks[[#This Row],[_Pred4Text]]&amp;"S"),FIND("+",Tasks[[#This Row],[_Pred4Text]]&amp;"+"),FIND("-",Tasks[[#This Row],[_Pred4Text]]&amp;"-"))-1)),""))</f>
        <v/>
      </c>
      <c r="DB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2" s="42" t="str">
        <f aca="false">IF(OR(Tasks[[#This Row],[Task Name]]="",Tasks[[#This Row],[_Resources]]=""),"",TRIM(MID(SUBSTITUTE(Tasks[[#This Row],[_Resources]],",",REPT(" ",99)),1,99)))</f>
        <v/>
      </c>
      <c r="DE92" s="42" t="str">
        <f aca="false">IF(Tasks[[#This Row],[_Res1Text]]="","",TRIM(MID(SUBSTITUTE(Tasks[[#This Row],[_Resources]],",",REPT(" ",99)),100,99)))</f>
        <v/>
      </c>
      <c r="DF92" s="42" t="str">
        <f aca="false">IF(Tasks[[#This Row],[_Res2Text]]="","",TRIM(MID(SUBSTITUTE(Tasks[[#This Row],[_Resources]],",",REPT(" ",99)),199,99)))</f>
        <v/>
      </c>
      <c r="DG92" s="42" t="str">
        <f aca="false">IF(Tasks[[#This Row],[_Res3Text]]="","",TRIM(MID(SUBSTITUTE(Tasks[[#This Row],[_Resources]],",",REPT(" ",99)),298,99)))</f>
        <v/>
      </c>
      <c r="DH92" s="42" t="n">
        <f aca="false">IF(Tasks[[#This Row],[_Res1Text]]="",0,IFERROR(MATCH(TRIM(LEFT(Tasks[[#This Row],[_Res1Text]],FIND("[",Tasks[[#This Row],[_Res1Text]]&amp;"[")-1)),res_Name,0),IFERROR(MATCH(TRIM(LEFT(Tasks[[#This Row],[_Res1Text]],FIND("[",Tasks[[#This Row],[_Res1Text]]&amp;"[")-1)),res_Initials,0),0)))</f>
        <v>0</v>
      </c>
      <c r="DI92" s="42" t="n">
        <f aca="false">IF(Tasks[[#This Row],[_Res2Text]]="",0,IFERROR(MATCH(TRIM(LEFT(Tasks[[#This Row],[_Res2Text]],FIND("[",Tasks[[#This Row],[_Res2Text]]&amp;"[")-1)),res_Name,0),IFERROR(MATCH(TRIM(LEFT(Tasks[[#This Row],[_Res2Text]],FIND("[",Tasks[[#This Row],[_Res2Text]]&amp;"[")-1)),res_Initials,0),0)))</f>
        <v>0</v>
      </c>
      <c r="DJ92" s="42" t="n">
        <f aca="false">IF(Tasks[[#This Row],[_Res3Text]]="",0,IFERROR(MATCH(TRIM(LEFT(Tasks[[#This Row],[_Res3Text]],FIND("[",Tasks[[#This Row],[_Res3Text]]&amp;"[")-1)),res_Name,0),IFERROR(MATCH(TRIM(LEFT(Tasks[[#This Row],[_Res3Text]],FIND("[",Tasks[[#This Row],[_Res3Text]]&amp;"[")-1)),res_Initials,0),0)))</f>
        <v>0</v>
      </c>
      <c r="DK92" s="42" t="n">
        <f aca="false">IF(Tasks[[#This Row],[_Res4Text]]="",0,IFERROR(MATCH(TRIM(LEFT(Tasks[[#This Row],[_Res4Text]],FIND("[",Tasks[[#This Row],[_Res4Text]]&amp;"[")-1)),res_Name,0),IFERROR(MATCH(TRIM(LEFT(Tasks[[#This Row],[_Res4Text]],FIND("[",Tasks[[#This Row],[_Res4Text]]&amp;"[")-1)),res_Initials,0),0)))</f>
        <v>0</v>
      </c>
      <c r="DL92" s="42" t="str">
        <f aca="false">IF(Tasks[[#This Row],[_Res1Text]]="","",IF(Tasks[[#This Row],[_Res1Row]]&gt;0,INDEX(res_Name,Tasks[[#This Row],[_Res1Row]]),TRIM(LEFT(Tasks[[#This Row],[_Res1Text]],FIND("[",Tasks[[#This Row],[_Res1Text]]&amp;"[")-1))))</f>
        <v/>
      </c>
      <c r="DM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2" s="42" t="n">
        <f aca="false">IF(NOT(Tasks[[#This Row],[_IsLeaf]]=1),0,(Tasks[[#This Row],[_Resource1]]&lt;&gt;"")+(Tasks[[#This Row],[_Res2]]&lt;&gt;"")+(Tasks[[#This Row],[_Res3]]&lt;&gt;"")+(Tasks[[#This Row],[_Res4]]&lt;&gt;""))</f>
        <v>0</v>
      </c>
      <c r="DO92" s="42" t="str">
        <f aca="false">IF(Tasks[[#This Row],[_Res2Text]]="","",IF(Tasks[[#This Row],[_Res2Row]]&gt;0,INDEX(res_Name,Tasks[[#This Row],[_Res2Row]]),TRIM(LEFT(Tasks[[#This Row],[_Res2Text]],FIND("[",Tasks[[#This Row],[_Res2Text]]&amp;"[")-1))))</f>
        <v/>
      </c>
      <c r="DP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2" s="42" t="n">
        <f aca="false">IF(OR(NOT(Tasks[[#This Row],[_IsLeaf]]=1),Tasks[[#This Row],[_Res2Row]]=0),0,N(Tasks[[#This Row],[_Days]])*HoursPerDay*IF(Tasks[[#This Row],[_Res2Units]]="",DefaultUnits,Tasks[[#This Row],[_Res2Units]]))</f>
        <v>0</v>
      </c>
      <c r="DR92" s="42" t="n">
        <f aca="false">IF(AND(AND(Tasks[[#This Row],[_IsLeaf]]=1,Tasks[[#This Row],[_LeafTotalWork]]&gt;0),Tasks[[#This Row],[_Res2Work]]&gt;0),Tasks[[#This Row],[_Res2Work]]/(Tasks[[#This Row],[_FinishWorkday]]-Tasks[[#This Row],[_StartWorkday]]+1),0)</f>
        <v>0</v>
      </c>
      <c r="DS92" s="42" t="n">
        <f aca="false">Tasks[[#This Row],[_Res2WorkPerWD]]*MAX(0,Tasks[[#This Row],[_StartWorkday]]-1)</f>
        <v>0</v>
      </c>
      <c r="DT92" s="42" t="n">
        <f aca="false">Tasks[[#This Row],[_Res2Work]]*Tasks[[#This Row],[_LeafProgress]]</f>
        <v>0</v>
      </c>
      <c r="DU92" s="42" t="str">
        <f aca="false">IF(Tasks[[#This Row],[_Res3Text]]="","",IF(Tasks[[#This Row],[_Res3Row]]&gt;0,INDEX(res_Name,Tasks[[#This Row],[_Res3Row]]),TRIM(LEFT(Tasks[[#This Row],[_Res3Text]],FIND("[",Tasks[[#This Row],[_Res3Text]]&amp;"[")-1))))</f>
        <v/>
      </c>
      <c r="DV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2" s="42" t="n">
        <f aca="false">IF(OR(NOT(Tasks[[#This Row],[_IsLeaf]]=1),Tasks[[#This Row],[_Res3Row]]=0),0,N(Tasks[[#This Row],[_Days]])*HoursPerDay*IF(Tasks[[#This Row],[_Res3Units]]="",DefaultUnits,Tasks[[#This Row],[_Res3Units]]))</f>
        <v>0</v>
      </c>
      <c r="DX92" s="42" t="n">
        <f aca="false">IF(AND(AND(Tasks[[#This Row],[_IsLeaf]]=1,Tasks[[#This Row],[_LeafTotalWork]]&gt;0),Tasks[[#This Row],[_Res3Work]]&gt;0),Tasks[[#This Row],[_Res3Work]]/(Tasks[[#This Row],[_FinishWorkday]]-Tasks[[#This Row],[_StartWorkday]]+1),0)</f>
        <v>0</v>
      </c>
      <c r="DY92" s="42" t="n">
        <f aca="false">Tasks[[#This Row],[_Res3WorkPerWD]]*MAX(0,Tasks[[#This Row],[_StartWorkday]]-1)</f>
        <v>0</v>
      </c>
      <c r="DZ92" s="42" t="n">
        <f aca="false">Tasks[[#This Row],[_Res3Work]]*Tasks[[#This Row],[_LeafProgress]]</f>
        <v>0</v>
      </c>
      <c r="EA92" s="42" t="str">
        <f aca="false">IF(Tasks[[#This Row],[_Res4Text]]="","",IF(Tasks[[#This Row],[_Res4Row]]&gt;0,INDEX(res_Name,Tasks[[#This Row],[_Res4Row]]),TRIM(LEFT(Tasks[[#This Row],[_Res4Text]],FIND("[",Tasks[[#This Row],[_Res4Text]]&amp;"[")-1))))</f>
        <v/>
      </c>
      <c r="EB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2" s="42" t="n">
        <f aca="false">IF(OR(NOT(Tasks[[#This Row],[_IsLeaf]]=1),Tasks[[#This Row],[_Res4Row]]=0),0,N(Tasks[[#This Row],[_Days]])*HoursPerDay*IF(Tasks[[#This Row],[_Res4Units]]="",DefaultUnits,Tasks[[#This Row],[_Res4Units]]))</f>
        <v>0</v>
      </c>
      <c r="ED92" s="42" t="n">
        <f aca="false">IF(AND(AND(Tasks[[#This Row],[_IsLeaf]]=1,Tasks[[#This Row],[_LeafTotalWork]]&gt;0),Tasks[[#This Row],[_Res4Work]]&gt;0),Tasks[[#This Row],[_Res4Work]]/(Tasks[[#This Row],[_FinishWorkday]]-Tasks[[#This Row],[_StartWorkday]]+1),0)</f>
        <v>0</v>
      </c>
      <c r="EE92" s="42" t="n">
        <f aca="false">Tasks[[#This Row],[_Res4WorkPerWD]]*MAX(0,Tasks[[#This Row],[_StartWorkday]]-1)</f>
        <v>0</v>
      </c>
      <c r="EF92" s="42" t="n">
        <f aca="false">Tasks[[#This Row],[_Res4Work]]*Tasks[[#This Row],[_LeafProgress]]</f>
        <v>0</v>
      </c>
      <c r="EG92" s="42" t="n">
        <f aca="false">IF(ISNUMBER(Tasks[[#This Row],[% Complete]]),Tasks[[#This Row],[% Complete]],IF(Tasks[[#This Row],[Stage]]="",0,IFERROR(INDEX(stg_Pct,MATCH(Tasks[[#This Row],[Stage]],stg_Name,0)),0)))</f>
        <v>0</v>
      </c>
      <c r="EH92" s="42" t="n">
        <f aca="false">IF(NOT(Tasks[[#This Row],[_IsLeaf]]=1),0,IF(N(Tasks[[#This Row],[Actual Finish]])&gt;0,1,MIN(1,Tasks[[#This Row],[_Pct]])))</f>
        <v>0</v>
      </c>
      <c r="EI92" s="42" t="n">
        <f aca="false">IF(OR(NOT(Tasks[[#This Row],[_IsLeaf]]=1),Tasks[[#This Row],[_Res1Row]]=0),0,N(Tasks[[#This Row],[_Days]])*HoursPerDay*IF(Tasks[[#This Row],[_Units1]]="",DefaultUnits,Tasks[[#This Row],[_Units1]]))</f>
        <v>0</v>
      </c>
      <c r="EJ92" s="42" t="n">
        <f aca="false">Tasks[[#This Row],[_LeafWork]]+Tasks[[#This Row],[_Res2Work]]+Tasks[[#This Row],[_Res3Work]]+Tasks[[#This Row],[_Res4Work]]</f>
        <v>0</v>
      </c>
      <c r="EK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2" s="42" t="n">
        <f aca="false">IF(NOT(Tasks[[#This Row],[_IsLeaf]]=1),0,MAX(_xlfn.MAXIFS(Tasks[_Row],Tasks[_Pred1UID],Tasks[[#This Row],[UID]]),_xlfn.MAXIFS(Tasks[_Row],Tasks[_Pred2UID],Tasks[[#This Row],[UID]]),_xlfn.MAXIFS(Tasks[_Row],Tasks[_Pred3UID],Tasks[[#This Row],[UID]]),_xlfn.MAXIFS(Tasks[_Row],Tasks[_Pred4UID],Tasks[[#This Row],[UID]])))</f>
        <v>0</v>
      </c>
      <c r="ET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2" s="89" t="str">
        <f aca="false">IF(NOT(Tasks[[#This Row],[_IsLeaf]]=1),"",IF(N(Tasks[[#This Row],[_Days]])&lt;=0,Tasks[[#This Row],[_LeafLateFinish]],WORKDAY.INTL(Tasks[[#This Row],[_LeafLateFinish]],-(Tasks[[#This Row],[_Days]]-1),WorkWeek,Holidays)))</f>
        <v/>
      </c>
      <c r="EW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2" s="88" t="b">
        <f aca="false">AND(Tasks[[#This Row],[_IsLeaf]]=1,Tasks[[#This Row],[_LeafProgress]]&lt;1,N(Tasks[[#This Row],[_LeafTotalSlack]])&lt;=CriticalSlackDays)</f>
        <v>0</v>
      </c>
      <c r="EY92" s="42" t="n">
        <f aca="false">IF(AND(Tasks[[#This Row],[_IsLeaf]]=1,Tasks[[#This Row],[_ConstraintCode]]=1,Tasks[[#This Row],[Mode]]&lt;&gt;"Manual",N(Tasks[[#This Row],[Actual Start]])=0),MAX(0,N(Tasks[[#This Row],[Free Slack]])),0)</f>
        <v>0</v>
      </c>
      <c r="EZ92" s="89" t="str">
        <f aca="false">IF(NOT(Tasks[[#This Row],[_IsLeaf]]=1),"",IF(Tasks[[#This Row],[_AlapShift]]=0,Tasks[[#This Row],[_LeafCalcStart]],WORKDAY.INTL(Tasks[[#This Row],[_LeafCalcStart]],Tasks[[#This Row],[_AlapShift]],WorkWeek,Holidays)))</f>
        <v/>
      </c>
      <c r="FA92" s="89" t="str">
        <f aca="false">IF(NOT(Tasks[[#This Row],[_IsLeaf]]=1),"",IF(Tasks[[#This Row],[_AlapShift]]=0,Tasks[[#This Row],[_LeafCalcFinish]],WORKDAY.INTL(Tasks[[#This Row],[_LeafCalcFinish]],Tasks[[#This Row],[_AlapShift]],WorkWeek,Holidays)))</f>
        <v/>
      </c>
      <c r="FB92" s="89" t="str">
        <f aca="false">IF(NOT(Tasks[[#This Row],[_IsLeaf]]=1),"",IF(Tasks[[#This Row],[_AlapShift]]=0,Tasks[[#This Row],[_LeafFcstStart]],WORKDAY.INTL(Tasks[[#This Row],[_LeafFcstStart]],Tasks[[#This Row],[_AlapShift]],WorkWeek,Holidays)))</f>
        <v/>
      </c>
      <c r="FC92" s="89" t="str">
        <f aca="false">IF(NOT(Tasks[[#This Row],[_IsLeaf]]=1),"",IF(Tasks[[#This Row],[_AlapShift]]=0,Tasks[[#This Row],[_LeafFcstFinish]],WORKDAY.INTL(Tasks[[#This Row],[_LeafFcstFinish]],Tasks[[#This Row],[_AlapShift]],WorkWeek,Holidays)))</f>
        <v/>
      </c>
      <c r="FD92" s="89" t="str">
        <f aca="false">IF(Tasks[[#This Row],[Task Name]]="","",IF(Tasks[[#This Row],[_IsSummary]],MIN(INDEX(Tasks[_ShownCalcStart],Tasks[[#This Row],[_Row]]+1):INDEX(Tasks[_ShownCalcStart],Tasks[[#This Row],[_Row]]+Tasks[[#This Row],[_Descendants]])),Tasks[[#This Row],[_ShownCalcStart]]))</f>
        <v/>
      </c>
      <c r="FE92" s="89" t="str">
        <f aca="false">IF(Tasks[[#This Row],[Task Name]]="","",IF(Tasks[[#This Row],[_IsSummary]],MAX(INDEX(Tasks[_ShownCalcFinish],Tasks[[#This Row],[_Row]]+1):INDEX(Tasks[_ShownCalcFinish],Tasks[[#This Row],[_Row]]+Tasks[[#This Row],[_Descendants]])),Tasks[[#This Row],[_ShownCalcFinish]]))</f>
        <v/>
      </c>
      <c r="FF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2" s="42" t="n">
        <f aca="false">IF(AND(Tasks[[#This Row],[_IsLeaf]]=1,Tasks[[#This Row],[_LeafTotalWork]]&gt;0),NETWORKDAYS.INTL(ProjectStart,Tasks[[#This Row],[_ShownFcstStart]],WorkWeek,Holidays),0)</f>
        <v>0</v>
      </c>
      <c r="FS92" s="42" t="n">
        <f aca="false">IF(AND(Tasks[[#This Row],[_IsLeaf]]=1,Tasks[[#This Row],[_LeafTotalWork]]&gt;0),MAX(Tasks[[#This Row],[_StartWorkday]],NETWORKDAYS.INTL(ProjectStart,Tasks[[#This Row],[_ShownFcstFinish]],WorkWeek,Holidays)),0)</f>
        <v>0</v>
      </c>
      <c r="FT92" s="42" t="n">
        <f aca="false">IF(AND(Tasks[[#This Row],[_IsLeaf]]=1,Tasks[[#This Row],[_LeafTotalWork]]&gt;0),Tasks[[#This Row],[_LeafWork]]/(Tasks[[#This Row],[_FinishWorkday]]-Tasks[[#This Row],[_StartWorkday]]+1),0)</f>
        <v>0</v>
      </c>
      <c r="FU92" s="42" t="n">
        <f aca="false">Tasks[[#This Row],[_WorkPerWorkday]]*(Tasks[[#This Row],[_StartWorkday]]-1)</f>
        <v>-0</v>
      </c>
      <c r="FV92" s="42" t="n">
        <f aca="false">IF(Tasks[[#This Row],[_IsLeaf]]=1,MAX(N(Tasks[[#This Row],[_Days]]),0.1),0)</f>
        <v>0</v>
      </c>
      <c r="FW92" s="42" t="n">
        <f aca="false">Tasks[[#This Row],[_WeightDur]]*Tasks[[#This Row],[_LeafProgress]]</f>
        <v>0</v>
      </c>
      <c r="FX92" s="42" t="n">
        <f aca="false">Tasks[[#This Row],[_WeightDur]]*Tasks[[#This Row],[_PlannedPct]]</f>
        <v>0</v>
      </c>
      <c r="FY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2" s="42" t="str">
        <f aca="false">IF(AND(Tasks[[#This Row],[_IsLeaf]]=1,N(Tasks[[#This Row],[_Days]])=0,Tasks[[#This Row],[_LeafProgress]]&lt;1),Tasks[[#This Row],[_ShownFcstFinish]]+Tasks[[#This Row],[_Row]]/100000,"")</f>
        <v/>
      </c>
      <c r="GA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2" s="42" t="str">
        <f aca="false">IF(Tasks[[#This Row],[Task Name]]="","",LEFT(Tasks[[#This Row],[WBS]],FIND(".",Tasks[[#This Row],[WBS]]&amp;".")-1))</f>
        <v/>
      </c>
      <c r="GC92" s="42" t="str">
        <f aca="false">IF(AND(Tasks[[#This Row],[Task Name]]&lt;&gt;"",Tasks[[#This Row],[_Level]]=1),Tasks[[#This Row],[_Row]],"")</f>
        <v/>
      </c>
      <c r="GD92" s="42" t="str">
        <f aca="false">IF(AND(Tasks[[#This Row],[_IsLeaf]]=1,N(Tasks[[#This Row],[_Days]])=0),Tasks[[#This Row],[Planned Finish]]+Tasks[[#This Row],[_Row]]/100000,"")</f>
        <v/>
      </c>
      <c r="GE92" s="42" t="str">
        <f aca="false">IF(AND(Tasks[[#This Row],[_IsLeaf]]=1,Tasks[[#This Row],[_LeafProgress]]&lt;1,OR(N(Tasks[[#This Row],[Finish Var]])&gt;0,Tasks[[#This Row],[Status]]="Late Start")),MAX(0,Tasks[[#This Row],[Finish Var]])+1-Tasks[[#This Row],[_Row]]/1000000,"")</f>
        <v/>
      </c>
      <c r="GF92" s="42" t="str">
        <f aca="false">IF(AND(Tasks[[#This Row],[_IsLeaf]]=1,N(Tasks[[#This Row],[Actual Start]])=0,Tasks[[#This Row],[_ShownFcstStart]]&gt;=StatusDate,Tasks[[#This Row],[_ShownFcstStart]]&lt;=LookaheadEnd),Tasks[[#This Row],[_ShownFcstStart]]+Tasks[[#This Row],[_Row]]/100000,"")</f>
        <v/>
      </c>
      <c r="GG92" s="42" t="str">
        <f aca="false">IF(AND(Tasks[[#This Row],[_IsLeaf]]=1,Tasks[[#This Row],[_LeafProgress]]&lt;1,Tasks[[#This Row],[_ShownFcstFinish]]&gt;=StatusDate,Tasks[[#This Row],[_ShownFcstFinish]]&lt;=LookaheadEnd),Tasks[[#This Row],[_ShownFcstFinish]]+Tasks[[#This Row],[_Row]]/100000,"")</f>
        <v/>
      </c>
      <c r="GH92" s="42" t="str">
        <f aca="false">IF(Tasks[[#This Row],[_LeafCritical]],Tasks[[#This Row],[_ShownFcstStart]]+Tasks[[#This Row],[_Row]]/100000,"")</f>
        <v/>
      </c>
      <c r="GI92" s="42" t="n">
        <f aca="false">Tasks[[#This Row],[_LeafWork]]*Tasks[[#This Row],[_LeafProgress]]</f>
        <v>0</v>
      </c>
      <c r="GJ92" s="89" t="str">
        <f aca="false">IF(AND(Tasks[[#This Row],[_IsLeaf]]=1,Tasks[[#This Row],[_LeafProgress]]&gt;=1),IF(N(Tasks[[#This Row],[Actual Finish]])&gt;0,Tasks[[#This Row],[Actual Finish]],Tasks[[#This Row],[_ShownFcstFinish]]),"")</f>
        <v/>
      </c>
      <c r="GK92" s="42" t="n">
        <f aca="false">IF(Tasks[[#This Row],[_IsLeaf]]=1,N(Tasks[[#This Row],[Story Points]]),0)</f>
        <v>0</v>
      </c>
      <c r="GL92" s="42" t="str">
        <f aca="false">""</f>
        <v/>
      </c>
      <c r="GM92" s="88" t="b">
        <f aca="false">IF(Tasks[[#This Row],[Task Name]]="",FALSE(),AND(Tasks[[#This Row],[_IsLeaf]]=1,N(Tasks[[#This Row],[_Days]])=0))</f>
        <v>0</v>
      </c>
      <c r="GN92" s="89" t="n">
        <f aca="false">IF(Tasks[[#This Row],[Task Name]]="",0,IF(AND(Tasks[[#This Row],[_IsLeaf]]=1,NOT(Tasks[[#This Row],[_IsMilestone]]),N(Tasks[[#This Row],[Progress]])&gt;0),Tasks[[#This Row],[Start]],0))</f>
        <v>0</v>
      </c>
      <c r="GO92" s="89" t="n">
        <f aca="false">IF(Tasks[[#This Row],[_DoneFrom]]=0,0,IF(Tasks[[#This Row],[Progress]]&gt;=1,Tasks[[#This Row],[Finish]],MAX(Tasks[[#This Row],[_DoneFrom]],Tasks[[#This Row],[Start]]+ROUND((Tasks[[#This Row],[Finish]]-Tasks[[#This Row],[Start]]+1)*Tasks[[#This Row],[Progress]],0)-1)))</f>
        <v>0</v>
      </c>
      <c r="GP92" s="89" t="n">
        <f aca="false">IF(Tasks[[#This Row],[Task Name]]="",0,IF(OR(NOT(Tasks[[#This Row],[_IsLeaf]]=1),Tasks[[#This Row],[_IsMilestone]],N(Tasks[[#This Row],[Progress]])&gt;=1),0,IF(Tasks[[#This Row],[_DoneTo]]&gt;0,Tasks[[#This Row],[_DoneTo]]+1,Tasks[[#This Row],[Start]])))</f>
        <v>0</v>
      </c>
      <c r="GQ92" s="89" t="n">
        <f aca="false">IF(Tasks[[#This Row],[_RemFrom]]=0,0,Tasks[[#This Row],[Finish]])</f>
        <v>0</v>
      </c>
      <c r="GR92" s="88" t="b">
        <f aca="false">IF(Tasks[[#This Row],[Task Name]]="",FALSE(),OR(NOT(BaselineSet),N(Tasks[[#This Row],[Baseline Start]])&gt;0))</f>
        <v>0</v>
      </c>
      <c r="GS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2" s="90" t="str">
        <f aca="false">IF(Tasks[[#This Row],[_IsLeaf]]=1,Tasks[[#This Row],[_Row]],"")</f>
        <v/>
      </c>
      <c r="GW92" s="90" t="str">
        <f aca="false">IFERROR(INDEX(Tasks[UID],SMALL(Tasks[_PickKey],Tasks[[#This Row],[_Row]]))&amp;" "&amp;INDEX(Tasks[Task Name],SMALL(Tasks[_PickKey],Tasks[[#This Row],[_Row]])),"")</f>
        <v/>
      </c>
      <c r="GX92" s="42" t="str">
        <f aca="false">IF(Tasks[[#This Row],[Task Name]]="","",IF(Tasks[[#This Row],[_IsSummary]],NETWORKDAYS.INTL(Tasks[[#This Row],[Start]],Tasks[[#This Row],[Finish]],WorkWeek,Holidays),N(Tasks[[#This Row],[_Days]])))</f>
        <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3"/>
      <c r="U93" s="23"/>
      <c r="V93" s="83"/>
      <c r="W93" s="23"/>
      <c r="X93" s="83"/>
      <c r="Y93" s="23"/>
      <c r="Z93" s="83"/>
      <c r="AA93" s="23"/>
      <c r="AB93" s="23"/>
      <c r="AC93" s="7"/>
      <c r="AD93" s="7"/>
      <c r="AE93" s="62" t="str">
        <f aca="false">IF(Tasks[[#This Row],[Task Name]]="","",IF(Tasks[[#This Row],[_IsSummary]],MIN(INDEX(Tasks[_ShownFcstStart],Tasks[[#This Row],[_Row]]+1):INDEX(Tasks[_ShownFcstStart],Tasks[[#This Row],[_Row]]+Tasks[[#This Row],[_Descendants]])),Tasks[[#This Row],[_ShownFcstStart]]))</f>
        <v/>
      </c>
      <c r="AF93" s="62"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3" s="7"/>
      <c r="AK93" s="22"/>
      <c r="AL93" s="23"/>
      <c r="AM93" s="7"/>
      <c r="AN93" s="46"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2" t="str">
        <f aca="false">IF(Tasks[[#This Row],[Task Name]]="","",IF(N(Tasks[[#This Row],[Baseline Start]])&gt;0,Tasks[[#This Row],[Baseline Start]],Tasks[[#This Row],[_CalcStart]]))</f>
        <v/>
      </c>
      <c r="AR93" s="62" t="str">
        <f aca="false">IF(Tasks[[#This Row],[Task Name]]="","",IF(N(Tasks[[#This Row],[Baseline Finish]])&gt;0,Tasks[[#This Row],[Baseline Finish]],Tasks[[#This Row],[_CalcFinish]]))</f>
        <v/>
      </c>
      <c r="AS93" s="46" t="str">
        <f aca="false">IF(Tasks[[#This Row],[Task Name]]="","",IF(Tasks[[#This Row],[Start]]&gt;=Tasks[[#This Row],[Planned Start]],NETWORKDAYS.INTL(Tasks[[#This Row],[Planned Start]],Tasks[[#This Row],[Start]],WorkWeek,Holidays)-1,1-NETWORKDAYS.INTL(Tasks[[#This Row],[Start]],Tasks[[#This Row],[Planned Start]],WorkWeek,Holidays)))</f>
        <v/>
      </c>
      <c r="AT93" s="62" t="str">
        <f aca="false">IF(Tasks[[#This Row],[Task Name]]="","",IF(Tasks[[#This Row],[_IsSummary]],MIN(INDEX(Tasks[_LeafLateStart],Tasks[[#This Row],[_Row]]+1):INDEX(Tasks[_LeafLateStart],Tasks[[#This Row],[_Row]]+Tasks[[#This Row],[_Descendants]])),Tasks[[#This Row],[_LeafLateStart]]))</f>
        <v/>
      </c>
      <c r="AU93" s="62" t="str">
        <f aca="false">IF(Tasks[[#This Row],[Task Name]]="","",IF(Tasks[[#This Row],[_IsSummary]],MAX(INDEX(Tasks[_LeafLateFinish],Tasks[[#This Row],[_Row]]+1):INDEX(Tasks[_LeafLateFinish],Tasks[[#This Row],[_Row]]+Tasks[[#This Row],[_Descendants]])),Tasks[[#This Row],[_LeafLateFinish]]))</f>
        <v/>
      </c>
      <c r="AV93" s="46"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4"/>
      <c r="BA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5"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6"/>
      <c r="BJ93" s="22"/>
      <c r="BK93" s="46" t="str">
        <f aca="false">IF(OR(Tasks[[#This Row],[Task Name]]="",Tasks[[#This Row],[Baseline Duration]]=""),"",Tasks[[#This Row],[_SpanDays]]-N(Tasks[[#This Row],[Baseline Duration]]))</f>
        <v/>
      </c>
      <c r="BL93" s="85" t="str">
        <f aca="false">IF(OR(Tasks[[#This Row],[Task Name]]="",Tasks[[#This Row],[Baseline Work]]=""),"",Tasks[[#This Row],[Work]]-N(Tasks[[#This Row],[Baseline Work]]))</f>
        <v/>
      </c>
      <c r="BM93" s="62" t="str">
        <f aca="false">IF(Tasks[[#This Row],[Task Name]]="","",IF(OR(TakeBaseline="Yes",N(Tasks[[#This Row],[Baseline Start]])=0),Tasks[[#This Row],[Start]],Tasks[[#This Row],[Baseline Start]]))</f>
        <v/>
      </c>
      <c r="BN93" s="62"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5" t="str">
        <f aca="false">IF(Tasks[[#This Row],[Task Name]]="","",IF(OR(TakeBaseline="Yes",N(Tasks[[#This Row],[Baseline Work]])=0),Tasks[[#This Row],[Work]],Tasks[[#This Row],[Baseline Work]]))</f>
        <v/>
      </c>
      <c r="BQ93" s="7"/>
      <c r="BR93" s="7"/>
      <c r="BS93" s="22"/>
      <c r="BT93" s="87"/>
      <c r="BU93" s="42" t="str">
        <f aca="false">IF(Tasks[[#This Row],[Task Name]]="","",MAX(1,N(Tasks[[#This Row],[Level]])))</f>
        <v/>
      </c>
      <c r="BV93" s="42" t="n">
        <f aca="false">ROW()-ROW(Tasks[[#Headers],[ID]])</f>
        <v>88</v>
      </c>
      <c r="BW93" s="42" t="n">
        <f aca="false">IF(OR(Tasks[[#This Row],[Task Name]]="",Tasks[[#This Row],[_Level]]&lt;=1),0,IFERROR(LOOKUP(2,1/(Tasks[[#Headers],[_Level]]:Tasks[[#This Row],[_Level]]=Tasks[[#This Row],[_Level]]-1),ROW(Tasks[[#Headers],[_Level]]:Tasks[[#This Row],[_Level]])),0))</f>
        <v>0</v>
      </c>
      <c r="BX93" s="42" t="n">
        <f aca="false">IFERROR(N(INDEX(Tasks[_Level],Tasks[[#This Row],[_Row]]+1)),0)</f>
        <v>0</v>
      </c>
      <c r="BY93" s="88" t="b">
        <f aca="false">AND(Tasks[[#This Row],[Task Name]]&lt;&gt;"",Tasks[[#This Row],[_NextLevel]]&gt;Tasks[[#This Row],[_Level]])</f>
        <v>0</v>
      </c>
      <c r="BZ93" s="42" t="n">
        <f aca="false">IF(Tasks[[#This Row],[_IsSummary]],COUNTIF(Tasks[WBS],Tasks[[#This Row],[WBS]]&amp;".*"),0)</f>
        <v>0</v>
      </c>
      <c r="CA93" s="42" t="n">
        <f aca="false">IF(AND(Tasks[[#This Row],[Task Name]]&lt;&gt;"",NOT(Tasks[[#This Row],[_IsSummary]])),1,0)</f>
        <v>0</v>
      </c>
      <c r="CB93" s="42" t="n">
        <f aca="false">IF(N(Tasks[[#This Row],[_Pred1UID]])=0,0,IFERROR(MATCH(Tasks[[#This Row],[_Pred1UID]],Tasks[UID],0),-1))</f>
        <v>0</v>
      </c>
      <c r="CC93" s="42" t="n">
        <f aca="false">IF(N(Tasks[[#This Row],[_Pred2UID]])=0,0,IFERROR(MATCH(Tasks[[#This Row],[_Pred2UID]],Tasks[UID],0),-1))</f>
        <v>0</v>
      </c>
      <c r="CD93" s="42" t="n">
        <f aca="false">IF(N(Tasks[[#This Row],[_Pred3UID]])=0,0,IFERROR(MATCH(Tasks[[#This Row],[_Pred3UID]],Tasks[UID],0),-1))</f>
        <v>0</v>
      </c>
      <c r="CE93" s="42" t="n">
        <f aca="false">IF(N(Tasks[[#This Row],[_Pred4UID]])=0,0,IFERROR(MATCH(Tasks[[#This Row],[_Pred4UID]],Tasks[UID],0),-1))</f>
        <v>0</v>
      </c>
      <c r="CF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3" s="89" t="n">
        <f aca="false">IF(OR(Tasks[[#This Row],[_ConstraintCode]]=2,Tasks[[#This Row],[_ConstraintCode]]=3,Tasks[[#This Row],[_ConstraintCode]]=4,Tasks[[#This Row],[_ConstraintCode]]=6),Tasks[[#This Row],[_ConstraintStart]],0)</f>
        <v>0</v>
      </c>
      <c r="CI93" s="89" t="n">
        <f aca="false">IF(OR(Tasks[[#This Row],[_ConstraintCode]]=2,Tasks[[#This Row],[_ConstraintCode]]=3,Tasks[[#This Row],[_ConstraintCode]]=5,Tasks[[#This Row],[_ConstraintCode]]=7),Tasks[[#This Row],[_ConstraintStart]],2958465)</f>
        <v>2958465</v>
      </c>
      <c r="CJ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3" s="89" t="str">
        <f aca="false">IF(NOT(Tasks[[#This Row],[_IsLeaf]]=1),"",IF(N(Tasks[[#This Row],[_Days]])&lt;=0,Tasks[[#This Row],[_LeafCalcStart]],WORKDAY.INTL(Tasks[[#This Row],[_LeafCalcStart]],Tasks[[#This Row],[_Days]]-1,WorkWeek,Holidays)))</f>
        <v/>
      </c>
      <c r="CL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3" s="42" t="str">
        <f aca="false">IF(Tasks[[#This Row],[_Predecessors]]="","",TRIM(MID(SUBSTITUTE(SUBSTITUTE(SUBSTITUTE(UPPER(Tasks[[#This Row],[_Predecessors]]),";",",")," ",""),",",REPT(" ",99)),1,99)))</f>
        <v/>
      </c>
      <c r="CO93" s="42" t="str">
        <f aca="false">IF(Tasks[[#This Row],[_Pred1Text]]="","",IFERROR(VALUE(LEFT(Tasks[[#This Row],[_Pred1Text]],MIN(FIND("F",Tasks[[#This Row],[_Pred1Text]]&amp;"F"),FIND("S",Tasks[[#This Row],[_Pred1Text]]&amp;"S"),FIND("+",Tasks[[#This Row],[_Pred1Text]]&amp;"+"),FIND("-",Tasks[[#This Row],[_Pred1Text]]&amp;"-"))-1)),""))</f>
        <v/>
      </c>
      <c r="CP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3" s="42" t="str">
        <f aca="false">IF(Tasks[[#This Row],[_Pred1Text]]="","",TRIM(MID(SUBSTITUTE(SUBSTITUTE(SUBSTITUTE(UPPER(Tasks[[#This Row],[_Predecessors]]),";",",")," ",""),",",REPT(" ",99)),100,99)))</f>
        <v/>
      </c>
      <c r="CS93" s="42" t="str">
        <f aca="false">IF(Tasks[[#This Row],[_Pred2Text]]="","",IFERROR(VALUE(LEFT(Tasks[[#This Row],[_Pred2Text]],MIN(FIND("F",Tasks[[#This Row],[_Pred2Text]]&amp;"F"),FIND("S",Tasks[[#This Row],[_Pred2Text]]&amp;"S"),FIND("+",Tasks[[#This Row],[_Pred2Text]]&amp;"+"),FIND("-",Tasks[[#This Row],[_Pred2Text]]&amp;"-"))-1)),""))</f>
        <v/>
      </c>
      <c r="CT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3" s="42" t="str">
        <f aca="false">IF(Tasks[[#This Row],[_Pred2Text]]="","",TRIM(MID(SUBSTITUTE(SUBSTITUTE(SUBSTITUTE(UPPER(Tasks[[#This Row],[_Predecessors]]),";",",")," ",""),",",REPT(" ",99)),199,99)))</f>
        <v/>
      </c>
      <c r="CW93" s="42" t="str">
        <f aca="false">IF(Tasks[[#This Row],[_Pred3Text]]="","",IFERROR(VALUE(LEFT(Tasks[[#This Row],[_Pred3Text]],MIN(FIND("F",Tasks[[#This Row],[_Pred3Text]]&amp;"F"),FIND("S",Tasks[[#This Row],[_Pred3Text]]&amp;"S"),FIND("+",Tasks[[#This Row],[_Pred3Text]]&amp;"+"),FIND("-",Tasks[[#This Row],[_Pred3Text]]&amp;"-"))-1)),""))</f>
        <v/>
      </c>
      <c r="CX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3" s="42" t="str">
        <f aca="false">IF(Tasks[[#This Row],[_Pred3Text]]="","",TRIM(MID(SUBSTITUTE(SUBSTITUTE(SUBSTITUTE(UPPER(Tasks[[#This Row],[_Predecessors]]),";",",")," ",""),",",REPT(" ",99)),298,99)))</f>
        <v/>
      </c>
      <c r="DA93" s="42" t="str">
        <f aca="false">IF(Tasks[[#This Row],[_Pred4Text]]="","",IFERROR(VALUE(LEFT(Tasks[[#This Row],[_Pred4Text]],MIN(FIND("F",Tasks[[#This Row],[_Pred4Text]]&amp;"F"),FIND("S",Tasks[[#This Row],[_Pred4Text]]&amp;"S"),FIND("+",Tasks[[#This Row],[_Pred4Text]]&amp;"+"),FIND("-",Tasks[[#This Row],[_Pred4Text]]&amp;"-"))-1)),""))</f>
        <v/>
      </c>
      <c r="DB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3" s="42" t="str">
        <f aca="false">IF(OR(Tasks[[#This Row],[Task Name]]="",Tasks[[#This Row],[_Resources]]=""),"",TRIM(MID(SUBSTITUTE(Tasks[[#This Row],[_Resources]],",",REPT(" ",99)),1,99)))</f>
        <v/>
      </c>
      <c r="DE93" s="42" t="str">
        <f aca="false">IF(Tasks[[#This Row],[_Res1Text]]="","",TRIM(MID(SUBSTITUTE(Tasks[[#This Row],[_Resources]],",",REPT(" ",99)),100,99)))</f>
        <v/>
      </c>
      <c r="DF93" s="42" t="str">
        <f aca="false">IF(Tasks[[#This Row],[_Res2Text]]="","",TRIM(MID(SUBSTITUTE(Tasks[[#This Row],[_Resources]],",",REPT(" ",99)),199,99)))</f>
        <v/>
      </c>
      <c r="DG93" s="42" t="str">
        <f aca="false">IF(Tasks[[#This Row],[_Res3Text]]="","",TRIM(MID(SUBSTITUTE(Tasks[[#This Row],[_Resources]],",",REPT(" ",99)),298,99)))</f>
        <v/>
      </c>
      <c r="DH93" s="42" t="n">
        <f aca="false">IF(Tasks[[#This Row],[_Res1Text]]="",0,IFERROR(MATCH(TRIM(LEFT(Tasks[[#This Row],[_Res1Text]],FIND("[",Tasks[[#This Row],[_Res1Text]]&amp;"[")-1)),res_Name,0),IFERROR(MATCH(TRIM(LEFT(Tasks[[#This Row],[_Res1Text]],FIND("[",Tasks[[#This Row],[_Res1Text]]&amp;"[")-1)),res_Initials,0),0)))</f>
        <v>0</v>
      </c>
      <c r="DI93" s="42" t="n">
        <f aca="false">IF(Tasks[[#This Row],[_Res2Text]]="",0,IFERROR(MATCH(TRIM(LEFT(Tasks[[#This Row],[_Res2Text]],FIND("[",Tasks[[#This Row],[_Res2Text]]&amp;"[")-1)),res_Name,0),IFERROR(MATCH(TRIM(LEFT(Tasks[[#This Row],[_Res2Text]],FIND("[",Tasks[[#This Row],[_Res2Text]]&amp;"[")-1)),res_Initials,0),0)))</f>
        <v>0</v>
      </c>
      <c r="DJ93" s="42" t="n">
        <f aca="false">IF(Tasks[[#This Row],[_Res3Text]]="",0,IFERROR(MATCH(TRIM(LEFT(Tasks[[#This Row],[_Res3Text]],FIND("[",Tasks[[#This Row],[_Res3Text]]&amp;"[")-1)),res_Name,0),IFERROR(MATCH(TRIM(LEFT(Tasks[[#This Row],[_Res3Text]],FIND("[",Tasks[[#This Row],[_Res3Text]]&amp;"[")-1)),res_Initials,0),0)))</f>
        <v>0</v>
      </c>
      <c r="DK93" s="42" t="n">
        <f aca="false">IF(Tasks[[#This Row],[_Res4Text]]="",0,IFERROR(MATCH(TRIM(LEFT(Tasks[[#This Row],[_Res4Text]],FIND("[",Tasks[[#This Row],[_Res4Text]]&amp;"[")-1)),res_Name,0),IFERROR(MATCH(TRIM(LEFT(Tasks[[#This Row],[_Res4Text]],FIND("[",Tasks[[#This Row],[_Res4Text]]&amp;"[")-1)),res_Initials,0),0)))</f>
        <v>0</v>
      </c>
      <c r="DL93" s="42" t="str">
        <f aca="false">IF(Tasks[[#This Row],[_Res1Text]]="","",IF(Tasks[[#This Row],[_Res1Row]]&gt;0,INDEX(res_Name,Tasks[[#This Row],[_Res1Row]]),TRIM(LEFT(Tasks[[#This Row],[_Res1Text]],FIND("[",Tasks[[#This Row],[_Res1Text]]&amp;"[")-1))))</f>
        <v/>
      </c>
      <c r="DM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3" s="42" t="n">
        <f aca="false">IF(NOT(Tasks[[#This Row],[_IsLeaf]]=1),0,(Tasks[[#This Row],[_Resource1]]&lt;&gt;"")+(Tasks[[#This Row],[_Res2]]&lt;&gt;"")+(Tasks[[#This Row],[_Res3]]&lt;&gt;"")+(Tasks[[#This Row],[_Res4]]&lt;&gt;""))</f>
        <v>0</v>
      </c>
      <c r="DO93" s="42" t="str">
        <f aca="false">IF(Tasks[[#This Row],[_Res2Text]]="","",IF(Tasks[[#This Row],[_Res2Row]]&gt;0,INDEX(res_Name,Tasks[[#This Row],[_Res2Row]]),TRIM(LEFT(Tasks[[#This Row],[_Res2Text]],FIND("[",Tasks[[#This Row],[_Res2Text]]&amp;"[")-1))))</f>
        <v/>
      </c>
      <c r="DP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3" s="42" t="n">
        <f aca="false">IF(OR(NOT(Tasks[[#This Row],[_IsLeaf]]=1),Tasks[[#This Row],[_Res2Row]]=0),0,N(Tasks[[#This Row],[_Days]])*HoursPerDay*IF(Tasks[[#This Row],[_Res2Units]]="",DefaultUnits,Tasks[[#This Row],[_Res2Units]]))</f>
        <v>0</v>
      </c>
      <c r="DR93" s="42" t="n">
        <f aca="false">IF(AND(AND(Tasks[[#This Row],[_IsLeaf]]=1,Tasks[[#This Row],[_LeafTotalWork]]&gt;0),Tasks[[#This Row],[_Res2Work]]&gt;0),Tasks[[#This Row],[_Res2Work]]/(Tasks[[#This Row],[_FinishWorkday]]-Tasks[[#This Row],[_StartWorkday]]+1),0)</f>
        <v>0</v>
      </c>
      <c r="DS93" s="42" t="n">
        <f aca="false">Tasks[[#This Row],[_Res2WorkPerWD]]*MAX(0,Tasks[[#This Row],[_StartWorkday]]-1)</f>
        <v>0</v>
      </c>
      <c r="DT93" s="42" t="n">
        <f aca="false">Tasks[[#This Row],[_Res2Work]]*Tasks[[#This Row],[_LeafProgress]]</f>
        <v>0</v>
      </c>
      <c r="DU93" s="42" t="str">
        <f aca="false">IF(Tasks[[#This Row],[_Res3Text]]="","",IF(Tasks[[#This Row],[_Res3Row]]&gt;0,INDEX(res_Name,Tasks[[#This Row],[_Res3Row]]),TRIM(LEFT(Tasks[[#This Row],[_Res3Text]],FIND("[",Tasks[[#This Row],[_Res3Text]]&amp;"[")-1))))</f>
        <v/>
      </c>
      <c r="DV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3" s="42" t="n">
        <f aca="false">IF(OR(NOT(Tasks[[#This Row],[_IsLeaf]]=1),Tasks[[#This Row],[_Res3Row]]=0),0,N(Tasks[[#This Row],[_Days]])*HoursPerDay*IF(Tasks[[#This Row],[_Res3Units]]="",DefaultUnits,Tasks[[#This Row],[_Res3Units]]))</f>
        <v>0</v>
      </c>
      <c r="DX93" s="42" t="n">
        <f aca="false">IF(AND(AND(Tasks[[#This Row],[_IsLeaf]]=1,Tasks[[#This Row],[_LeafTotalWork]]&gt;0),Tasks[[#This Row],[_Res3Work]]&gt;0),Tasks[[#This Row],[_Res3Work]]/(Tasks[[#This Row],[_FinishWorkday]]-Tasks[[#This Row],[_StartWorkday]]+1),0)</f>
        <v>0</v>
      </c>
      <c r="DY93" s="42" t="n">
        <f aca="false">Tasks[[#This Row],[_Res3WorkPerWD]]*MAX(0,Tasks[[#This Row],[_StartWorkday]]-1)</f>
        <v>0</v>
      </c>
      <c r="DZ93" s="42" t="n">
        <f aca="false">Tasks[[#This Row],[_Res3Work]]*Tasks[[#This Row],[_LeafProgress]]</f>
        <v>0</v>
      </c>
      <c r="EA93" s="42" t="str">
        <f aca="false">IF(Tasks[[#This Row],[_Res4Text]]="","",IF(Tasks[[#This Row],[_Res4Row]]&gt;0,INDEX(res_Name,Tasks[[#This Row],[_Res4Row]]),TRIM(LEFT(Tasks[[#This Row],[_Res4Text]],FIND("[",Tasks[[#This Row],[_Res4Text]]&amp;"[")-1))))</f>
        <v/>
      </c>
      <c r="EB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3" s="42" t="n">
        <f aca="false">IF(OR(NOT(Tasks[[#This Row],[_IsLeaf]]=1),Tasks[[#This Row],[_Res4Row]]=0),0,N(Tasks[[#This Row],[_Days]])*HoursPerDay*IF(Tasks[[#This Row],[_Res4Units]]="",DefaultUnits,Tasks[[#This Row],[_Res4Units]]))</f>
        <v>0</v>
      </c>
      <c r="ED93" s="42" t="n">
        <f aca="false">IF(AND(AND(Tasks[[#This Row],[_IsLeaf]]=1,Tasks[[#This Row],[_LeafTotalWork]]&gt;0),Tasks[[#This Row],[_Res4Work]]&gt;0),Tasks[[#This Row],[_Res4Work]]/(Tasks[[#This Row],[_FinishWorkday]]-Tasks[[#This Row],[_StartWorkday]]+1),0)</f>
        <v>0</v>
      </c>
      <c r="EE93" s="42" t="n">
        <f aca="false">Tasks[[#This Row],[_Res4WorkPerWD]]*MAX(0,Tasks[[#This Row],[_StartWorkday]]-1)</f>
        <v>0</v>
      </c>
      <c r="EF93" s="42" t="n">
        <f aca="false">Tasks[[#This Row],[_Res4Work]]*Tasks[[#This Row],[_LeafProgress]]</f>
        <v>0</v>
      </c>
      <c r="EG93" s="42" t="n">
        <f aca="false">IF(ISNUMBER(Tasks[[#This Row],[% Complete]]),Tasks[[#This Row],[% Complete]],IF(Tasks[[#This Row],[Stage]]="",0,IFERROR(INDEX(stg_Pct,MATCH(Tasks[[#This Row],[Stage]],stg_Name,0)),0)))</f>
        <v>0</v>
      </c>
      <c r="EH93" s="42" t="n">
        <f aca="false">IF(NOT(Tasks[[#This Row],[_IsLeaf]]=1),0,IF(N(Tasks[[#This Row],[Actual Finish]])&gt;0,1,MIN(1,Tasks[[#This Row],[_Pct]])))</f>
        <v>0</v>
      </c>
      <c r="EI93" s="42" t="n">
        <f aca="false">IF(OR(NOT(Tasks[[#This Row],[_IsLeaf]]=1),Tasks[[#This Row],[_Res1Row]]=0),0,N(Tasks[[#This Row],[_Days]])*HoursPerDay*IF(Tasks[[#This Row],[_Units1]]="",DefaultUnits,Tasks[[#This Row],[_Units1]]))</f>
        <v>0</v>
      </c>
      <c r="EJ93" s="42" t="n">
        <f aca="false">Tasks[[#This Row],[_LeafWork]]+Tasks[[#This Row],[_Res2Work]]+Tasks[[#This Row],[_Res3Work]]+Tasks[[#This Row],[_Res4Work]]</f>
        <v>0</v>
      </c>
      <c r="EK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3" s="42" t="n">
        <f aca="false">IF(NOT(Tasks[[#This Row],[_IsLeaf]]=1),0,MAX(_xlfn.MAXIFS(Tasks[_Row],Tasks[_Pred1UID],Tasks[[#This Row],[UID]]),_xlfn.MAXIFS(Tasks[_Row],Tasks[_Pred2UID],Tasks[[#This Row],[UID]]),_xlfn.MAXIFS(Tasks[_Row],Tasks[_Pred3UID],Tasks[[#This Row],[UID]]),_xlfn.MAXIFS(Tasks[_Row],Tasks[_Pred4UID],Tasks[[#This Row],[UID]])))</f>
        <v>0</v>
      </c>
      <c r="ET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3" s="89" t="str">
        <f aca="false">IF(NOT(Tasks[[#This Row],[_IsLeaf]]=1),"",IF(N(Tasks[[#This Row],[_Days]])&lt;=0,Tasks[[#This Row],[_LeafLateFinish]],WORKDAY.INTL(Tasks[[#This Row],[_LeafLateFinish]],-(Tasks[[#This Row],[_Days]]-1),WorkWeek,Holidays)))</f>
        <v/>
      </c>
      <c r="EW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3" s="88" t="b">
        <f aca="false">AND(Tasks[[#This Row],[_IsLeaf]]=1,Tasks[[#This Row],[_LeafProgress]]&lt;1,N(Tasks[[#This Row],[_LeafTotalSlack]])&lt;=CriticalSlackDays)</f>
        <v>0</v>
      </c>
      <c r="EY93" s="42" t="n">
        <f aca="false">IF(AND(Tasks[[#This Row],[_IsLeaf]]=1,Tasks[[#This Row],[_ConstraintCode]]=1,Tasks[[#This Row],[Mode]]&lt;&gt;"Manual",N(Tasks[[#This Row],[Actual Start]])=0),MAX(0,N(Tasks[[#This Row],[Free Slack]])),0)</f>
        <v>0</v>
      </c>
      <c r="EZ93" s="89" t="str">
        <f aca="false">IF(NOT(Tasks[[#This Row],[_IsLeaf]]=1),"",IF(Tasks[[#This Row],[_AlapShift]]=0,Tasks[[#This Row],[_LeafCalcStart]],WORKDAY.INTL(Tasks[[#This Row],[_LeafCalcStart]],Tasks[[#This Row],[_AlapShift]],WorkWeek,Holidays)))</f>
        <v/>
      </c>
      <c r="FA93" s="89" t="str">
        <f aca="false">IF(NOT(Tasks[[#This Row],[_IsLeaf]]=1),"",IF(Tasks[[#This Row],[_AlapShift]]=0,Tasks[[#This Row],[_LeafCalcFinish]],WORKDAY.INTL(Tasks[[#This Row],[_LeafCalcFinish]],Tasks[[#This Row],[_AlapShift]],WorkWeek,Holidays)))</f>
        <v/>
      </c>
      <c r="FB93" s="89" t="str">
        <f aca="false">IF(NOT(Tasks[[#This Row],[_IsLeaf]]=1),"",IF(Tasks[[#This Row],[_AlapShift]]=0,Tasks[[#This Row],[_LeafFcstStart]],WORKDAY.INTL(Tasks[[#This Row],[_LeafFcstStart]],Tasks[[#This Row],[_AlapShift]],WorkWeek,Holidays)))</f>
        <v/>
      </c>
      <c r="FC93" s="89" t="str">
        <f aca="false">IF(NOT(Tasks[[#This Row],[_IsLeaf]]=1),"",IF(Tasks[[#This Row],[_AlapShift]]=0,Tasks[[#This Row],[_LeafFcstFinish]],WORKDAY.INTL(Tasks[[#This Row],[_LeafFcstFinish]],Tasks[[#This Row],[_AlapShift]],WorkWeek,Holidays)))</f>
        <v/>
      </c>
      <c r="FD93" s="89" t="str">
        <f aca="false">IF(Tasks[[#This Row],[Task Name]]="","",IF(Tasks[[#This Row],[_IsSummary]],MIN(INDEX(Tasks[_ShownCalcStart],Tasks[[#This Row],[_Row]]+1):INDEX(Tasks[_ShownCalcStart],Tasks[[#This Row],[_Row]]+Tasks[[#This Row],[_Descendants]])),Tasks[[#This Row],[_ShownCalcStart]]))</f>
        <v/>
      </c>
      <c r="FE93" s="89" t="str">
        <f aca="false">IF(Tasks[[#This Row],[Task Name]]="","",IF(Tasks[[#This Row],[_IsSummary]],MAX(INDEX(Tasks[_ShownCalcFinish],Tasks[[#This Row],[_Row]]+1):INDEX(Tasks[_ShownCalcFinish],Tasks[[#This Row],[_Row]]+Tasks[[#This Row],[_Descendants]])),Tasks[[#This Row],[_ShownCalcFinish]]))</f>
        <v/>
      </c>
      <c r="FF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3" s="42" t="n">
        <f aca="false">IF(AND(Tasks[[#This Row],[_IsLeaf]]=1,Tasks[[#This Row],[_LeafTotalWork]]&gt;0),NETWORKDAYS.INTL(ProjectStart,Tasks[[#This Row],[_ShownFcstStart]],WorkWeek,Holidays),0)</f>
        <v>0</v>
      </c>
      <c r="FS93" s="42" t="n">
        <f aca="false">IF(AND(Tasks[[#This Row],[_IsLeaf]]=1,Tasks[[#This Row],[_LeafTotalWork]]&gt;0),MAX(Tasks[[#This Row],[_StartWorkday]],NETWORKDAYS.INTL(ProjectStart,Tasks[[#This Row],[_ShownFcstFinish]],WorkWeek,Holidays)),0)</f>
        <v>0</v>
      </c>
      <c r="FT93" s="42" t="n">
        <f aca="false">IF(AND(Tasks[[#This Row],[_IsLeaf]]=1,Tasks[[#This Row],[_LeafTotalWork]]&gt;0),Tasks[[#This Row],[_LeafWork]]/(Tasks[[#This Row],[_FinishWorkday]]-Tasks[[#This Row],[_StartWorkday]]+1),0)</f>
        <v>0</v>
      </c>
      <c r="FU93" s="42" t="n">
        <f aca="false">Tasks[[#This Row],[_WorkPerWorkday]]*(Tasks[[#This Row],[_StartWorkday]]-1)</f>
        <v>-0</v>
      </c>
      <c r="FV93" s="42" t="n">
        <f aca="false">IF(Tasks[[#This Row],[_IsLeaf]]=1,MAX(N(Tasks[[#This Row],[_Days]]),0.1),0)</f>
        <v>0</v>
      </c>
      <c r="FW93" s="42" t="n">
        <f aca="false">Tasks[[#This Row],[_WeightDur]]*Tasks[[#This Row],[_LeafProgress]]</f>
        <v>0</v>
      </c>
      <c r="FX93" s="42" t="n">
        <f aca="false">Tasks[[#This Row],[_WeightDur]]*Tasks[[#This Row],[_PlannedPct]]</f>
        <v>0</v>
      </c>
      <c r="FY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3" s="42" t="str">
        <f aca="false">IF(AND(Tasks[[#This Row],[_IsLeaf]]=1,N(Tasks[[#This Row],[_Days]])=0,Tasks[[#This Row],[_LeafProgress]]&lt;1),Tasks[[#This Row],[_ShownFcstFinish]]+Tasks[[#This Row],[_Row]]/100000,"")</f>
        <v/>
      </c>
      <c r="GA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3" s="42" t="str">
        <f aca="false">IF(Tasks[[#This Row],[Task Name]]="","",LEFT(Tasks[[#This Row],[WBS]],FIND(".",Tasks[[#This Row],[WBS]]&amp;".")-1))</f>
        <v/>
      </c>
      <c r="GC93" s="42" t="str">
        <f aca="false">IF(AND(Tasks[[#This Row],[Task Name]]&lt;&gt;"",Tasks[[#This Row],[_Level]]=1),Tasks[[#This Row],[_Row]],"")</f>
        <v/>
      </c>
      <c r="GD93" s="42" t="str">
        <f aca="false">IF(AND(Tasks[[#This Row],[_IsLeaf]]=1,N(Tasks[[#This Row],[_Days]])=0),Tasks[[#This Row],[Planned Finish]]+Tasks[[#This Row],[_Row]]/100000,"")</f>
        <v/>
      </c>
      <c r="GE93" s="42" t="str">
        <f aca="false">IF(AND(Tasks[[#This Row],[_IsLeaf]]=1,Tasks[[#This Row],[_LeafProgress]]&lt;1,OR(N(Tasks[[#This Row],[Finish Var]])&gt;0,Tasks[[#This Row],[Status]]="Late Start")),MAX(0,Tasks[[#This Row],[Finish Var]])+1-Tasks[[#This Row],[_Row]]/1000000,"")</f>
        <v/>
      </c>
      <c r="GF93" s="42" t="str">
        <f aca="false">IF(AND(Tasks[[#This Row],[_IsLeaf]]=1,N(Tasks[[#This Row],[Actual Start]])=0,Tasks[[#This Row],[_ShownFcstStart]]&gt;=StatusDate,Tasks[[#This Row],[_ShownFcstStart]]&lt;=LookaheadEnd),Tasks[[#This Row],[_ShownFcstStart]]+Tasks[[#This Row],[_Row]]/100000,"")</f>
        <v/>
      </c>
      <c r="GG93" s="42" t="str">
        <f aca="false">IF(AND(Tasks[[#This Row],[_IsLeaf]]=1,Tasks[[#This Row],[_LeafProgress]]&lt;1,Tasks[[#This Row],[_ShownFcstFinish]]&gt;=StatusDate,Tasks[[#This Row],[_ShownFcstFinish]]&lt;=LookaheadEnd),Tasks[[#This Row],[_ShownFcstFinish]]+Tasks[[#This Row],[_Row]]/100000,"")</f>
        <v/>
      </c>
      <c r="GH93" s="42" t="str">
        <f aca="false">IF(Tasks[[#This Row],[_LeafCritical]],Tasks[[#This Row],[_ShownFcstStart]]+Tasks[[#This Row],[_Row]]/100000,"")</f>
        <v/>
      </c>
      <c r="GI93" s="42" t="n">
        <f aca="false">Tasks[[#This Row],[_LeafWork]]*Tasks[[#This Row],[_LeafProgress]]</f>
        <v>0</v>
      </c>
      <c r="GJ93" s="89" t="str">
        <f aca="false">IF(AND(Tasks[[#This Row],[_IsLeaf]]=1,Tasks[[#This Row],[_LeafProgress]]&gt;=1),IF(N(Tasks[[#This Row],[Actual Finish]])&gt;0,Tasks[[#This Row],[Actual Finish]],Tasks[[#This Row],[_ShownFcstFinish]]),"")</f>
        <v/>
      </c>
      <c r="GK93" s="42" t="n">
        <f aca="false">IF(Tasks[[#This Row],[_IsLeaf]]=1,N(Tasks[[#This Row],[Story Points]]),0)</f>
        <v>0</v>
      </c>
      <c r="GL93" s="42" t="str">
        <f aca="false">""</f>
        <v/>
      </c>
      <c r="GM93" s="88" t="b">
        <f aca="false">IF(Tasks[[#This Row],[Task Name]]="",FALSE(),AND(Tasks[[#This Row],[_IsLeaf]]=1,N(Tasks[[#This Row],[_Days]])=0))</f>
        <v>0</v>
      </c>
      <c r="GN93" s="89" t="n">
        <f aca="false">IF(Tasks[[#This Row],[Task Name]]="",0,IF(AND(Tasks[[#This Row],[_IsLeaf]]=1,NOT(Tasks[[#This Row],[_IsMilestone]]),N(Tasks[[#This Row],[Progress]])&gt;0),Tasks[[#This Row],[Start]],0))</f>
        <v>0</v>
      </c>
      <c r="GO93" s="89" t="n">
        <f aca="false">IF(Tasks[[#This Row],[_DoneFrom]]=0,0,IF(Tasks[[#This Row],[Progress]]&gt;=1,Tasks[[#This Row],[Finish]],MAX(Tasks[[#This Row],[_DoneFrom]],Tasks[[#This Row],[Start]]+ROUND((Tasks[[#This Row],[Finish]]-Tasks[[#This Row],[Start]]+1)*Tasks[[#This Row],[Progress]],0)-1)))</f>
        <v>0</v>
      </c>
      <c r="GP93" s="89" t="n">
        <f aca="false">IF(Tasks[[#This Row],[Task Name]]="",0,IF(OR(NOT(Tasks[[#This Row],[_IsLeaf]]=1),Tasks[[#This Row],[_IsMilestone]],N(Tasks[[#This Row],[Progress]])&gt;=1),0,IF(Tasks[[#This Row],[_DoneTo]]&gt;0,Tasks[[#This Row],[_DoneTo]]+1,Tasks[[#This Row],[Start]])))</f>
        <v>0</v>
      </c>
      <c r="GQ93" s="89" t="n">
        <f aca="false">IF(Tasks[[#This Row],[_RemFrom]]=0,0,Tasks[[#This Row],[Finish]])</f>
        <v>0</v>
      </c>
      <c r="GR93" s="88" t="b">
        <f aca="false">IF(Tasks[[#This Row],[Task Name]]="",FALSE(),OR(NOT(BaselineSet),N(Tasks[[#This Row],[Baseline Start]])&gt;0))</f>
        <v>0</v>
      </c>
      <c r="GS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3" s="90" t="str">
        <f aca="false">IF(Tasks[[#This Row],[_IsLeaf]]=1,Tasks[[#This Row],[_Row]],"")</f>
        <v/>
      </c>
      <c r="GW93" s="90" t="str">
        <f aca="false">IFERROR(INDEX(Tasks[UID],SMALL(Tasks[_PickKey],Tasks[[#This Row],[_Row]]))&amp;" "&amp;INDEX(Tasks[Task Name],SMALL(Tasks[_PickKey],Tasks[[#This Row],[_Row]])),"")</f>
        <v/>
      </c>
      <c r="GX93" s="42" t="str">
        <f aca="false">IF(Tasks[[#This Row],[Task Name]]="","",IF(Tasks[[#This Row],[_IsSummary]],NETWORKDAYS.INTL(Tasks[[#This Row],[Start]],Tasks[[#This Row],[Finish]],WorkWeek,Holidays),N(Tasks[[#This Row],[_Days]])))</f>
        <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3"/>
      <c r="U94" s="23"/>
      <c r="V94" s="83"/>
      <c r="W94" s="23"/>
      <c r="X94" s="83"/>
      <c r="Y94" s="23"/>
      <c r="Z94" s="83"/>
      <c r="AA94" s="23"/>
      <c r="AB94" s="23"/>
      <c r="AC94" s="7"/>
      <c r="AD94" s="7"/>
      <c r="AE94" s="62" t="str">
        <f aca="false">IF(Tasks[[#This Row],[Task Name]]="","",IF(Tasks[[#This Row],[_IsSummary]],MIN(INDEX(Tasks[_ShownFcstStart],Tasks[[#This Row],[_Row]]+1):INDEX(Tasks[_ShownFcstStart],Tasks[[#This Row],[_Row]]+Tasks[[#This Row],[_Descendants]])),Tasks[[#This Row],[_ShownFcstStart]]))</f>
        <v/>
      </c>
      <c r="AF94" s="62"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4" s="7"/>
      <c r="AK94" s="22"/>
      <c r="AL94" s="23"/>
      <c r="AM94" s="7"/>
      <c r="AN94" s="46"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2" t="str">
        <f aca="false">IF(Tasks[[#This Row],[Task Name]]="","",IF(N(Tasks[[#This Row],[Baseline Start]])&gt;0,Tasks[[#This Row],[Baseline Start]],Tasks[[#This Row],[_CalcStart]]))</f>
        <v/>
      </c>
      <c r="AR94" s="62" t="str">
        <f aca="false">IF(Tasks[[#This Row],[Task Name]]="","",IF(N(Tasks[[#This Row],[Baseline Finish]])&gt;0,Tasks[[#This Row],[Baseline Finish]],Tasks[[#This Row],[_CalcFinish]]))</f>
        <v/>
      </c>
      <c r="AS94" s="46" t="str">
        <f aca="false">IF(Tasks[[#This Row],[Task Name]]="","",IF(Tasks[[#This Row],[Start]]&gt;=Tasks[[#This Row],[Planned Start]],NETWORKDAYS.INTL(Tasks[[#This Row],[Planned Start]],Tasks[[#This Row],[Start]],WorkWeek,Holidays)-1,1-NETWORKDAYS.INTL(Tasks[[#This Row],[Start]],Tasks[[#This Row],[Planned Start]],WorkWeek,Holidays)))</f>
        <v/>
      </c>
      <c r="AT94" s="62" t="str">
        <f aca="false">IF(Tasks[[#This Row],[Task Name]]="","",IF(Tasks[[#This Row],[_IsSummary]],MIN(INDEX(Tasks[_LeafLateStart],Tasks[[#This Row],[_Row]]+1):INDEX(Tasks[_LeafLateStart],Tasks[[#This Row],[_Row]]+Tasks[[#This Row],[_Descendants]])),Tasks[[#This Row],[_LeafLateStart]]))</f>
        <v/>
      </c>
      <c r="AU94" s="62" t="str">
        <f aca="false">IF(Tasks[[#This Row],[Task Name]]="","",IF(Tasks[[#This Row],[_IsSummary]],MAX(INDEX(Tasks[_LeafLateFinish],Tasks[[#This Row],[_Row]]+1):INDEX(Tasks[_LeafLateFinish],Tasks[[#This Row],[_Row]]+Tasks[[#This Row],[_Descendants]])),Tasks[[#This Row],[_LeafLateFinish]]))</f>
        <v/>
      </c>
      <c r="AV94" s="46"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4"/>
      <c r="BA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5"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6"/>
      <c r="BJ94" s="22"/>
      <c r="BK94" s="46" t="str">
        <f aca="false">IF(OR(Tasks[[#This Row],[Task Name]]="",Tasks[[#This Row],[Baseline Duration]]=""),"",Tasks[[#This Row],[_SpanDays]]-N(Tasks[[#This Row],[Baseline Duration]]))</f>
        <v/>
      </c>
      <c r="BL94" s="85" t="str">
        <f aca="false">IF(OR(Tasks[[#This Row],[Task Name]]="",Tasks[[#This Row],[Baseline Work]]=""),"",Tasks[[#This Row],[Work]]-N(Tasks[[#This Row],[Baseline Work]]))</f>
        <v/>
      </c>
      <c r="BM94" s="62" t="str">
        <f aca="false">IF(Tasks[[#This Row],[Task Name]]="","",IF(OR(TakeBaseline="Yes",N(Tasks[[#This Row],[Baseline Start]])=0),Tasks[[#This Row],[Start]],Tasks[[#This Row],[Baseline Start]]))</f>
        <v/>
      </c>
      <c r="BN94" s="62"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5" t="str">
        <f aca="false">IF(Tasks[[#This Row],[Task Name]]="","",IF(OR(TakeBaseline="Yes",N(Tasks[[#This Row],[Baseline Work]])=0),Tasks[[#This Row],[Work]],Tasks[[#This Row],[Baseline Work]]))</f>
        <v/>
      </c>
      <c r="BQ94" s="7"/>
      <c r="BR94" s="7"/>
      <c r="BS94" s="22"/>
      <c r="BT94" s="87"/>
      <c r="BU94" s="42" t="str">
        <f aca="false">IF(Tasks[[#This Row],[Task Name]]="","",MAX(1,N(Tasks[[#This Row],[Level]])))</f>
        <v/>
      </c>
      <c r="BV94" s="42" t="n">
        <f aca="false">ROW()-ROW(Tasks[[#Headers],[ID]])</f>
        <v>89</v>
      </c>
      <c r="BW94" s="42" t="n">
        <f aca="false">IF(OR(Tasks[[#This Row],[Task Name]]="",Tasks[[#This Row],[_Level]]&lt;=1),0,IFERROR(LOOKUP(2,1/(Tasks[[#Headers],[_Level]]:Tasks[[#This Row],[_Level]]=Tasks[[#This Row],[_Level]]-1),ROW(Tasks[[#Headers],[_Level]]:Tasks[[#This Row],[_Level]])),0))</f>
        <v>0</v>
      </c>
      <c r="BX94" s="42" t="n">
        <f aca="false">IFERROR(N(INDEX(Tasks[_Level],Tasks[[#This Row],[_Row]]+1)),0)</f>
        <v>0</v>
      </c>
      <c r="BY94" s="88" t="b">
        <f aca="false">AND(Tasks[[#This Row],[Task Name]]&lt;&gt;"",Tasks[[#This Row],[_NextLevel]]&gt;Tasks[[#This Row],[_Level]])</f>
        <v>0</v>
      </c>
      <c r="BZ94" s="42" t="n">
        <f aca="false">IF(Tasks[[#This Row],[_IsSummary]],COUNTIF(Tasks[WBS],Tasks[[#This Row],[WBS]]&amp;".*"),0)</f>
        <v>0</v>
      </c>
      <c r="CA94" s="42" t="n">
        <f aca="false">IF(AND(Tasks[[#This Row],[Task Name]]&lt;&gt;"",NOT(Tasks[[#This Row],[_IsSummary]])),1,0)</f>
        <v>0</v>
      </c>
      <c r="CB94" s="42" t="n">
        <f aca="false">IF(N(Tasks[[#This Row],[_Pred1UID]])=0,0,IFERROR(MATCH(Tasks[[#This Row],[_Pred1UID]],Tasks[UID],0),-1))</f>
        <v>0</v>
      </c>
      <c r="CC94" s="42" t="n">
        <f aca="false">IF(N(Tasks[[#This Row],[_Pred2UID]])=0,0,IFERROR(MATCH(Tasks[[#This Row],[_Pred2UID]],Tasks[UID],0),-1))</f>
        <v>0</v>
      </c>
      <c r="CD94" s="42" t="n">
        <f aca="false">IF(N(Tasks[[#This Row],[_Pred3UID]])=0,0,IFERROR(MATCH(Tasks[[#This Row],[_Pred3UID]],Tasks[UID],0),-1))</f>
        <v>0</v>
      </c>
      <c r="CE94" s="42" t="n">
        <f aca="false">IF(N(Tasks[[#This Row],[_Pred4UID]])=0,0,IFERROR(MATCH(Tasks[[#This Row],[_Pred4UID]],Tasks[UID],0),-1))</f>
        <v>0</v>
      </c>
      <c r="CF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4" s="89" t="n">
        <f aca="false">IF(OR(Tasks[[#This Row],[_ConstraintCode]]=2,Tasks[[#This Row],[_ConstraintCode]]=3,Tasks[[#This Row],[_ConstraintCode]]=4,Tasks[[#This Row],[_ConstraintCode]]=6),Tasks[[#This Row],[_ConstraintStart]],0)</f>
        <v>0</v>
      </c>
      <c r="CI94" s="89" t="n">
        <f aca="false">IF(OR(Tasks[[#This Row],[_ConstraintCode]]=2,Tasks[[#This Row],[_ConstraintCode]]=3,Tasks[[#This Row],[_ConstraintCode]]=5,Tasks[[#This Row],[_ConstraintCode]]=7),Tasks[[#This Row],[_ConstraintStart]],2958465)</f>
        <v>2958465</v>
      </c>
      <c r="CJ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4" s="89" t="str">
        <f aca="false">IF(NOT(Tasks[[#This Row],[_IsLeaf]]=1),"",IF(N(Tasks[[#This Row],[_Days]])&lt;=0,Tasks[[#This Row],[_LeafCalcStart]],WORKDAY.INTL(Tasks[[#This Row],[_LeafCalcStart]],Tasks[[#This Row],[_Days]]-1,WorkWeek,Holidays)))</f>
        <v/>
      </c>
      <c r="CL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4" s="42" t="str">
        <f aca="false">IF(Tasks[[#This Row],[_Predecessors]]="","",TRIM(MID(SUBSTITUTE(SUBSTITUTE(SUBSTITUTE(UPPER(Tasks[[#This Row],[_Predecessors]]),";",",")," ",""),",",REPT(" ",99)),1,99)))</f>
        <v/>
      </c>
      <c r="CO94" s="42" t="str">
        <f aca="false">IF(Tasks[[#This Row],[_Pred1Text]]="","",IFERROR(VALUE(LEFT(Tasks[[#This Row],[_Pred1Text]],MIN(FIND("F",Tasks[[#This Row],[_Pred1Text]]&amp;"F"),FIND("S",Tasks[[#This Row],[_Pred1Text]]&amp;"S"),FIND("+",Tasks[[#This Row],[_Pred1Text]]&amp;"+"),FIND("-",Tasks[[#This Row],[_Pred1Text]]&amp;"-"))-1)),""))</f>
        <v/>
      </c>
      <c r="CP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4" s="42" t="str">
        <f aca="false">IF(Tasks[[#This Row],[_Pred1Text]]="","",TRIM(MID(SUBSTITUTE(SUBSTITUTE(SUBSTITUTE(UPPER(Tasks[[#This Row],[_Predecessors]]),";",",")," ",""),",",REPT(" ",99)),100,99)))</f>
        <v/>
      </c>
      <c r="CS94" s="42" t="str">
        <f aca="false">IF(Tasks[[#This Row],[_Pred2Text]]="","",IFERROR(VALUE(LEFT(Tasks[[#This Row],[_Pred2Text]],MIN(FIND("F",Tasks[[#This Row],[_Pred2Text]]&amp;"F"),FIND("S",Tasks[[#This Row],[_Pred2Text]]&amp;"S"),FIND("+",Tasks[[#This Row],[_Pred2Text]]&amp;"+"),FIND("-",Tasks[[#This Row],[_Pred2Text]]&amp;"-"))-1)),""))</f>
        <v/>
      </c>
      <c r="CT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4" s="42" t="str">
        <f aca="false">IF(Tasks[[#This Row],[_Pred2Text]]="","",TRIM(MID(SUBSTITUTE(SUBSTITUTE(SUBSTITUTE(UPPER(Tasks[[#This Row],[_Predecessors]]),";",",")," ",""),",",REPT(" ",99)),199,99)))</f>
        <v/>
      </c>
      <c r="CW94" s="42" t="str">
        <f aca="false">IF(Tasks[[#This Row],[_Pred3Text]]="","",IFERROR(VALUE(LEFT(Tasks[[#This Row],[_Pred3Text]],MIN(FIND("F",Tasks[[#This Row],[_Pred3Text]]&amp;"F"),FIND("S",Tasks[[#This Row],[_Pred3Text]]&amp;"S"),FIND("+",Tasks[[#This Row],[_Pred3Text]]&amp;"+"),FIND("-",Tasks[[#This Row],[_Pred3Text]]&amp;"-"))-1)),""))</f>
        <v/>
      </c>
      <c r="CX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4" s="42" t="str">
        <f aca="false">IF(Tasks[[#This Row],[_Pred3Text]]="","",TRIM(MID(SUBSTITUTE(SUBSTITUTE(SUBSTITUTE(UPPER(Tasks[[#This Row],[_Predecessors]]),";",",")," ",""),",",REPT(" ",99)),298,99)))</f>
        <v/>
      </c>
      <c r="DA94" s="42" t="str">
        <f aca="false">IF(Tasks[[#This Row],[_Pred4Text]]="","",IFERROR(VALUE(LEFT(Tasks[[#This Row],[_Pred4Text]],MIN(FIND("F",Tasks[[#This Row],[_Pred4Text]]&amp;"F"),FIND("S",Tasks[[#This Row],[_Pred4Text]]&amp;"S"),FIND("+",Tasks[[#This Row],[_Pred4Text]]&amp;"+"),FIND("-",Tasks[[#This Row],[_Pred4Text]]&amp;"-"))-1)),""))</f>
        <v/>
      </c>
      <c r="DB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4" s="42" t="str">
        <f aca="false">IF(OR(Tasks[[#This Row],[Task Name]]="",Tasks[[#This Row],[_Resources]]=""),"",TRIM(MID(SUBSTITUTE(Tasks[[#This Row],[_Resources]],",",REPT(" ",99)),1,99)))</f>
        <v/>
      </c>
      <c r="DE94" s="42" t="str">
        <f aca="false">IF(Tasks[[#This Row],[_Res1Text]]="","",TRIM(MID(SUBSTITUTE(Tasks[[#This Row],[_Resources]],",",REPT(" ",99)),100,99)))</f>
        <v/>
      </c>
      <c r="DF94" s="42" t="str">
        <f aca="false">IF(Tasks[[#This Row],[_Res2Text]]="","",TRIM(MID(SUBSTITUTE(Tasks[[#This Row],[_Resources]],",",REPT(" ",99)),199,99)))</f>
        <v/>
      </c>
      <c r="DG94" s="42" t="str">
        <f aca="false">IF(Tasks[[#This Row],[_Res3Text]]="","",TRIM(MID(SUBSTITUTE(Tasks[[#This Row],[_Resources]],",",REPT(" ",99)),298,99)))</f>
        <v/>
      </c>
      <c r="DH94" s="42" t="n">
        <f aca="false">IF(Tasks[[#This Row],[_Res1Text]]="",0,IFERROR(MATCH(TRIM(LEFT(Tasks[[#This Row],[_Res1Text]],FIND("[",Tasks[[#This Row],[_Res1Text]]&amp;"[")-1)),res_Name,0),IFERROR(MATCH(TRIM(LEFT(Tasks[[#This Row],[_Res1Text]],FIND("[",Tasks[[#This Row],[_Res1Text]]&amp;"[")-1)),res_Initials,0),0)))</f>
        <v>0</v>
      </c>
      <c r="DI94" s="42" t="n">
        <f aca="false">IF(Tasks[[#This Row],[_Res2Text]]="",0,IFERROR(MATCH(TRIM(LEFT(Tasks[[#This Row],[_Res2Text]],FIND("[",Tasks[[#This Row],[_Res2Text]]&amp;"[")-1)),res_Name,0),IFERROR(MATCH(TRIM(LEFT(Tasks[[#This Row],[_Res2Text]],FIND("[",Tasks[[#This Row],[_Res2Text]]&amp;"[")-1)),res_Initials,0),0)))</f>
        <v>0</v>
      </c>
      <c r="DJ94" s="42" t="n">
        <f aca="false">IF(Tasks[[#This Row],[_Res3Text]]="",0,IFERROR(MATCH(TRIM(LEFT(Tasks[[#This Row],[_Res3Text]],FIND("[",Tasks[[#This Row],[_Res3Text]]&amp;"[")-1)),res_Name,0),IFERROR(MATCH(TRIM(LEFT(Tasks[[#This Row],[_Res3Text]],FIND("[",Tasks[[#This Row],[_Res3Text]]&amp;"[")-1)),res_Initials,0),0)))</f>
        <v>0</v>
      </c>
      <c r="DK94" s="42" t="n">
        <f aca="false">IF(Tasks[[#This Row],[_Res4Text]]="",0,IFERROR(MATCH(TRIM(LEFT(Tasks[[#This Row],[_Res4Text]],FIND("[",Tasks[[#This Row],[_Res4Text]]&amp;"[")-1)),res_Name,0),IFERROR(MATCH(TRIM(LEFT(Tasks[[#This Row],[_Res4Text]],FIND("[",Tasks[[#This Row],[_Res4Text]]&amp;"[")-1)),res_Initials,0),0)))</f>
        <v>0</v>
      </c>
      <c r="DL94" s="42" t="str">
        <f aca="false">IF(Tasks[[#This Row],[_Res1Text]]="","",IF(Tasks[[#This Row],[_Res1Row]]&gt;0,INDEX(res_Name,Tasks[[#This Row],[_Res1Row]]),TRIM(LEFT(Tasks[[#This Row],[_Res1Text]],FIND("[",Tasks[[#This Row],[_Res1Text]]&amp;"[")-1))))</f>
        <v/>
      </c>
      <c r="DM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4" s="42" t="n">
        <f aca="false">IF(NOT(Tasks[[#This Row],[_IsLeaf]]=1),0,(Tasks[[#This Row],[_Resource1]]&lt;&gt;"")+(Tasks[[#This Row],[_Res2]]&lt;&gt;"")+(Tasks[[#This Row],[_Res3]]&lt;&gt;"")+(Tasks[[#This Row],[_Res4]]&lt;&gt;""))</f>
        <v>0</v>
      </c>
      <c r="DO94" s="42" t="str">
        <f aca="false">IF(Tasks[[#This Row],[_Res2Text]]="","",IF(Tasks[[#This Row],[_Res2Row]]&gt;0,INDEX(res_Name,Tasks[[#This Row],[_Res2Row]]),TRIM(LEFT(Tasks[[#This Row],[_Res2Text]],FIND("[",Tasks[[#This Row],[_Res2Text]]&amp;"[")-1))))</f>
        <v/>
      </c>
      <c r="DP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4" s="42" t="n">
        <f aca="false">IF(OR(NOT(Tasks[[#This Row],[_IsLeaf]]=1),Tasks[[#This Row],[_Res2Row]]=0),0,N(Tasks[[#This Row],[_Days]])*HoursPerDay*IF(Tasks[[#This Row],[_Res2Units]]="",DefaultUnits,Tasks[[#This Row],[_Res2Units]]))</f>
        <v>0</v>
      </c>
      <c r="DR94" s="42" t="n">
        <f aca="false">IF(AND(AND(Tasks[[#This Row],[_IsLeaf]]=1,Tasks[[#This Row],[_LeafTotalWork]]&gt;0),Tasks[[#This Row],[_Res2Work]]&gt;0),Tasks[[#This Row],[_Res2Work]]/(Tasks[[#This Row],[_FinishWorkday]]-Tasks[[#This Row],[_StartWorkday]]+1),0)</f>
        <v>0</v>
      </c>
      <c r="DS94" s="42" t="n">
        <f aca="false">Tasks[[#This Row],[_Res2WorkPerWD]]*MAX(0,Tasks[[#This Row],[_StartWorkday]]-1)</f>
        <v>0</v>
      </c>
      <c r="DT94" s="42" t="n">
        <f aca="false">Tasks[[#This Row],[_Res2Work]]*Tasks[[#This Row],[_LeafProgress]]</f>
        <v>0</v>
      </c>
      <c r="DU94" s="42" t="str">
        <f aca="false">IF(Tasks[[#This Row],[_Res3Text]]="","",IF(Tasks[[#This Row],[_Res3Row]]&gt;0,INDEX(res_Name,Tasks[[#This Row],[_Res3Row]]),TRIM(LEFT(Tasks[[#This Row],[_Res3Text]],FIND("[",Tasks[[#This Row],[_Res3Text]]&amp;"[")-1))))</f>
        <v/>
      </c>
      <c r="DV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4" s="42" t="n">
        <f aca="false">IF(OR(NOT(Tasks[[#This Row],[_IsLeaf]]=1),Tasks[[#This Row],[_Res3Row]]=0),0,N(Tasks[[#This Row],[_Days]])*HoursPerDay*IF(Tasks[[#This Row],[_Res3Units]]="",DefaultUnits,Tasks[[#This Row],[_Res3Units]]))</f>
        <v>0</v>
      </c>
      <c r="DX94" s="42" t="n">
        <f aca="false">IF(AND(AND(Tasks[[#This Row],[_IsLeaf]]=1,Tasks[[#This Row],[_LeafTotalWork]]&gt;0),Tasks[[#This Row],[_Res3Work]]&gt;0),Tasks[[#This Row],[_Res3Work]]/(Tasks[[#This Row],[_FinishWorkday]]-Tasks[[#This Row],[_StartWorkday]]+1),0)</f>
        <v>0</v>
      </c>
      <c r="DY94" s="42" t="n">
        <f aca="false">Tasks[[#This Row],[_Res3WorkPerWD]]*MAX(0,Tasks[[#This Row],[_StartWorkday]]-1)</f>
        <v>0</v>
      </c>
      <c r="DZ94" s="42" t="n">
        <f aca="false">Tasks[[#This Row],[_Res3Work]]*Tasks[[#This Row],[_LeafProgress]]</f>
        <v>0</v>
      </c>
      <c r="EA94" s="42" t="str">
        <f aca="false">IF(Tasks[[#This Row],[_Res4Text]]="","",IF(Tasks[[#This Row],[_Res4Row]]&gt;0,INDEX(res_Name,Tasks[[#This Row],[_Res4Row]]),TRIM(LEFT(Tasks[[#This Row],[_Res4Text]],FIND("[",Tasks[[#This Row],[_Res4Text]]&amp;"[")-1))))</f>
        <v/>
      </c>
      <c r="EB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4" s="42" t="n">
        <f aca="false">IF(OR(NOT(Tasks[[#This Row],[_IsLeaf]]=1),Tasks[[#This Row],[_Res4Row]]=0),0,N(Tasks[[#This Row],[_Days]])*HoursPerDay*IF(Tasks[[#This Row],[_Res4Units]]="",DefaultUnits,Tasks[[#This Row],[_Res4Units]]))</f>
        <v>0</v>
      </c>
      <c r="ED94" s="42" t="n">
        <f aca="false">IF(AND(AND(Tasks[[#This Row],[_IsLeaf]]=1,Tasks[[#This Row],[_LeafTotalWork]]&gt;0),Tasks[[#This Row],[_Res4Work]]&gt;0),Tasks[[#This Row],[_Res4Work]]/(Tasks[[#This Row],[_FinishWorkday]]-Tasks[[#This Row],[_StartWorkday]]+1),0)</f>
        <v>0</v>
      </c>
      <c r="EE94" s="42" t="n">
        <f aca="false">Tasks[[#This Row],[_Res4WorkPerWD]]*MAX(0,Tasks[[#This Row],[_StartWorkday]]-1)</f>
        <v>0</v>
      </c>
      <c r="EF94" s="42" t="n">
        <f aca="false">Tasks[[#This Row],[_Res4Work]]*Tasks[[#This Row],[_LeafProgress]]</f>
        <v>0</v>
      </c>
      <c r="EG94" s="42" t="n">
        <f aca="false">IF(ISNUMBER(Tasks[[#This Row],[% Complete]]),Tasks[[#This Row],[% Complete]],IF(Tasks[[#This Row],[Stage]]="",0,IFERROR(INDEX(stg_Pct,MATCH(Tasks[[#This Row],[Stage]],stg_Name,0)),0)))</f>
        <v>0</v>
      </c>
      <c r="EH94" s="42" t="n">
        <f aca="false">IF(NOT(Tasks[[#This Row],[_IsLeaf]]=1),0,IF(N(Tasks[[#This Row],[Actual Finish]])&gt;0,1,MIN(1,Tasks[[#This Row],[_Pct]])))</f>
        <v>0</v>
      </c>
      <c r="EI94" s="42" t="n">
        <f aca="false">IF(OR(NOT(Tasks[[#This Row],[_IsLeaf]]=1),Tasks[[#This Row],[_Res1Row]]=0),0,N(Tasks[[#This Row],[_Days]])*HoursPerDay*IF(Tasks[[#This Row],[_Units1]]="",DefaultUnits,Tasks[[#This Row],[_Units1]]))</f>
        <v>0</v>
      </c>
      <c r="EJ94" s="42" t="n">
        <f aca="false">Tasks[[#This Row],[_LeafWork]]+Tasks[[#This Row],[_Res2Work]]+Tasks[[#This Row],[_Res3Work]]+Tasks[[#This Row],[_Res4Work]]</f>
        <v>0</v>
      </c>
      <c r="EK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4" s="42" t="n">
        <f aca="false">IF(NOT(Tasks[[#This Row],[_IsLeaf]]=1),0,MAX(_xlfn.MAXIFS(Tasks[_Row],Tasks[_Pred1UID],Tasks[[#This Row],[UID]]),_xlfn.MAXIFS(Tasks[_Row],Tasks[_Pred2UID],Tasks[[#This Row],[UID]]),_xlfn.MAXIFS(Tasks[_Row],Tasks[_Pred3UID],Tasks[[#This Row],[UID]]),_xlfn.MAXIFS(Tasks[_Row],Tasks[_Pred4UID],Tasks[[#This Row],[UID]])))</f>
        <v>0</v>
      </c>
      <c r="ET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4" s="89" t="str">
        <f aca="false">IF(NOT(Tasks[[#This Row],[_IsLeaf]]=1),"",IF(N(Tasks[[#This Row],[_Days]])&lt;=0,Tasks[[#This Row],[_LeafLateFinish]],WORKDAY.INTL(Tasks[[#This Row],[_LeafLateFinish]],-(Tasks[[#This Row],[_Days]]-1),WorkWeek,Holidays)))</f>
        <v/>
      </c>
      <c r="EW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4" s="88" t="b">
        <f aca="false">AND(Tasks[[#This Row],[_IsLeaf]]=1,Tasks[[#This Row],[_LeafProgress]]&lt;1,N(Tasks[[#This Row],[_LeafTotalSlack]])&lt;=CriticalSlackDays)</f>
        <v>0</v>
      </c>
      <c r="EY94" s="42" t="n">
        <f aca="false">IF(AND(Tasks[[#This Row],[_IsLeaf]]=1,Tasks[[#This Row],[_ConstraintCode]]=1,Tasks[[#This Row],[Mode]]&lt;&gt;"Manual",N(Tasks[[#This Row],[Actual Start]])=0),MAX(0,N(Tasks[[#This Row],[Free Slack]])),0)</f>
        <v>0</v>
      </c>
      <c r="EZ94" s="89" t="str">
        <f aca="false">IF(NOT(Tasks[[#This Row],[_IsLeaf]]=1),"",IF(Tasks[[#This Row],[_AlapShift]]=0,Tasks[[#This Row],[_LeafCalcStart]],WORKDAY.INTL(Tasks[[#This Row],[_LeafCalcStart]],Tasks[[#This Row],[_AlapShift]],WorkWeek,Holidays)))</f>
        <v/>
      </c>
      <c r="FA94" s="89" t="str">
        <f aca="false">IF(NOT(Tasks[[#This Row],[_IsLeaf]]=1),"",IF(Tasks[[#This Row],[_AlapShift]]=0,Tasks[[#This Row],[_LeafCalcFinish]],WORKDAY.INTL(Tasks[[#This Row],[_LeafCalcFinish]],Tasks[[#This Row],[_AlapShift]],WorkWeek,Holidays)))</f>
        <v/>
      </c>
      <c r="FB94" s="89" t="str">
        <f aca="false">IF(NOT(Tasks[[#This Row],[_IsLeaf]]=1),"",IF(Tasks[[#This Row],[_AlapShift]]=0,Tasks[[#This Row],[_LeafFcstStart]],WORKDAY.INTL(Tasks[[#This Row],[_LeafFcstStart]],Tasks[[#This Row],[_AlapShift]],WorkWeek,Holidays)))</f>
        <v/>
      </c>
      <c r="FC94" s="89" t="str">
        <f aca="false">IF(NOT(Tasks[[#This Row],[_IsLeaf]]=1),"",IF(Tasks[[#This Row],[_AlapShift]]=0,Tasks[[#This Row],[_LeafFcstFinish]],WORKDAY.INTL(Tasks[[#This Row],[_LeafFcstFinish]],Tasks[[#This Row],[_AlapShift]],WorkWeek,Holidays)))</f>
        <v/>
      </c>
      <c r="FD94" s="89" t="str">
        <f aca="false">IF(Tasks[[#This Row],[Task Name]]="","",IF(Tasks[[#This Row],[_IsSummary]],MIN(INDEX(Tasks[_ShownCalcStart],Tasks[[#This Row],[_Row]]+1):INDEX(Tasks[_ShownCalcStart],Tasks[[#This Row],[_Row]]+Tasks[[#This Row],[_Descendants]])),Tasks[[#This Row],[_ShownCalcStart]]))</f>
        <v/>
      </c>
      <c r="FE94" s="89" t="str">
        <f aca="false">IF(Tasks[[#This Row],[Task Name]]="","",IF(Tasks[[#This Row],[_IsSummary]],MAX(INDEX(Tasks[_ShownCalcFinish],Tasks[[#This Row],[_Row]]+1):INDEX(Tasks[_ShownCalcFinish],Tasks[[#This Row],[_Row]]+Tasks[[#This Row],[_Descendants]])),Tasks[[#This Row],[_ShownCalcFinish]]))</f>
        <v/>
      </c>
      <c r="FF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4" s="42" t="n">
        <f aca="false">IF(AND(Tasks[[#This Row],[_IsLeaf]]=1,Tasks[[#This Row],[_LeafTotalWork]]&gt;0),NETWORKDAYS.INTL(ProjectStart,Tasks[[#This Row],[_ShownFcstStart]],WorkWeek,Holidays),0)</f>
        <v>0</v>
      </c>
      <c r="FS94" s="42" t="n">
        <f aca="false">IF(AND(Tasks[[#This Row],[_IsLeaf]]=1,Tasks[[#This Row],[_LeafTotalWork]]&gt;0),MAX(Tasks[[#This Row],[_StartWorkday]],NETWORKDAYS.INTL(ProjectStart,Tasks[[#This Row],[_ShownFcstFinish]],WorkWeek,Holidays)),0)</f>
        <v>0</v>
      </c>
      <c r="FT94" s="42" t="n">
        <f aca="false">IF(AND(Tasks[[#This Row],[_IsLeaf]]=1,Tasks[[#This Row],[_LeafTotalWork]]&gt;0),Tasks[[#This Row],[_LeafWork]]/(Tasks[[#This Row],[_FinishWorkday]]-Tasks[[#This Row],[_StartWorkday]]+1),0)</f>
        <v>0</v>
      </c>
      <c r="FU94" s="42" t="n">
        <f aca="false">Tasks[[#This Row],[_WorkPerWorkday]]*(Tasks[[#This Row],[_StartWorkday]]-1)</f>
        <v>-0</v>
      </c>
      <c r="FV94" s="42" t="n">
        <f aca="false">IF(Tasks[[#This Row],[_IsLeaf]]=1,MAX(N(Tasks[[#This Row],[_Days]]),0.1),0)</f>
        <v>0</v>
      </c>
      <c r="FW94" s="42" t="n">
        <f aca="false">Tasks[[#This Row],[_WeightDur]]*Tasks[[#This Row],[_LeafProgress]]</f>
        <v>0</v>
      </c>
      <c r="FX94" s="42" t="n">
        <f aca="false">Tasks[[#This Row],[_WeightDur]]*Tasks[[#This Row],[_PlannedPct]]</f>
        <v>0</v>
      </c>
      <c r="FY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4" s="42" t="str">
        <f aca="false">IF(AND(Tasks[[#This Row],[_IsLeaf]]=1,N(Tasks[[#This Row],[_Days]])=0,Tasks[[#This Row],[_LeafProgress]]&lt;1),Tasks[[#This Row],[_ShownFcstFinish]]+Tasks[[#This Row],[_Row]]/100000,"")</f>
        <v/>
      </c>
      <c r="GA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4" s="42" t="str">
        <f aca="false">IF(Tasks[[#This Row],[Task Name]]="","",LEFT(Tasks[[#This Row],[WBS]],FIND(".",Tasks[[#This Row],[WBS]]&amp;".")-1))</f>
        <v/>
      </c>
      <c r="GC94" s="42" t="str">
        <f aca="false">IF(AND(Tasks[[#This Row],[Task Name]]&lt;&gt;"",Tasks[[#This Row],[_Level]]=1),Tasks[[#This Row],[_Row]],"")</f>
        <v/>
      </c>
      <c r="GD94" s="42" t="str">
        <f aca="false">IF(AND(Tasks[[#This Row],[_IsLeaf]]=1,N(Tasks[[#This Row],[_Days]])=0),Tasks[[#This Row],[Planned Finish]]+Tasks[[#This Row],[_Row]]/100000,"")</f>
        <v/>
      </c>
      <c r="GE94" s="42" t="str">
        <f aca="false">IF(AND(Tasks[[#This Row],[_IsLeaf]]=1,Tasks[[#This Row],[_LeafProgress]]&lt;1,OR(N(Tasks[[#This Row],[Finish Var]])&gt;0,Tasks[[#This Row],[Status]]="Late Start")),MAX(0,Tasks[[#This Row],[Finish Var]])+1-Tasks[[#This Row],[_Row]]/1000000,"")</f>
        <v/>
      </c>
      <c r="GF94" s="42" t="str">
        <f aca="false">IF(AND(Tasks[[#This Row],[_IsLeaf]]=1,N(Tasks[[#This Row],[Actual Start]])=0,Tasks[[#This Row],[_ShownFcstStart]]&gt;=StatusDate,Tasks[[#This Row],[_ShownFcstStart]]&lt;=LookaheadEnd),Tasks[[#This Row],[_ShownFcstStart]]+Tasks[[#This Row],[_Row]]/100000,"")</f>
        <v/>
      </c>
      <c r="GG94" s="42" t="str">
        <f aca="false">IF(AND(Tasks[[#This Row],[_IsLeaf]]=1,Tasks[[#This Row],[_LeafProgress]]&lt;1,Tasks[[#This Row],[_ShownFcstFinish]]&gt;=StatusDate,Tasks[[#This Row],[_ShownFcstFinish]]&lt;=LookaheadEnd),Tasks[[#This Row],[_ShownFcstFinish]]+Tasks[[#This Row],[_Row]]/100000,"")</f>
        <v/>
      </c>
      <c r="GH94" s="42" t="str">
        <f aca="false">IF(Tasks[[#This Row],[_LeafCritical]],Tasks[[#This Row],[_ShownFcstStart]]+Tasks[[#This Row],[_Row]]/100000,"")</f>
        <v/>
      </c>
      <c r="GI94" s="42" t="n">
        <f aca="false">Tasks[[#This Row],[_LeafWork]]*Tasks[[#This Row],[_LeafProgress]]</f>
        <v>0</v>
      </c>
      <c r="GJ94" s="89" t="str">
        <f aca="false">IF(AND(Tasks[[#This Row],[_IsLeaf]]=1,Tasks[[#This Row],[_LeafProgress]]&gt;=1),IF(N(Tasks[[#This Row],[Actual Finish]])&gt;0,Tasks[[#This Row],[Actual Finish]],Tasks[[#This Row],[_ShownFcstFinish]]),"")</f>
        <v/>
      </c>
      <c r="GK94" s="42" t="n">
        <f aca="false">IF(Tasks[[#This Row],[_IsLeaf]]=1,N(Tasks[[#This Row],[Story Points]]),0)</f>
        <v>0</v>
      </c>
      <c r="GL94" s="42" t="str">
        <f aca="false">""</f>
        <v/>
      </c>
      <c r="GM94" s="88" t="b">
        <f aca="false">IF(Tasks[[#This Row],[Task Name]]="",FALSE(),AND(Tasks[[#This Row],[_IsLeaf]]=1,N(Tasks[[#This Row],[_Days]])=0))</f>
        <v>0</v>
      </c>
      <c r="GN94" s="89" t="n">
        <f aca="false">IF(Tasks[[#This Row],[Task Name]]="",0,IF(AND(Tasks[[#This Row],[_IsLeaf]]=1,NOT(Tasks[[#This Row],[_IsMilestone]]),N(Tasks[[#This Row],[Progress]])&gt;0),Tasks[[#This Row],[Start]],0))</f>
        <v>0</v>
      </c>
      <c r="GO94" s="89" t="n">
        <f aca="false">IF(Tasks[[#This Row],[_DoneFrom]]=0,0,IF(Tasks[[#This Row],[Progress]]&gt;=1,Tasks[[#This Row],[Finish]],MAX(Tasks[[#This Row],[_DoneFrom]],Tasks[[#This Row],[Start]]+ROUND((Tasks[[#This Row],[Finish]]-Tasks[[#This Row],[Start]]+1)*Tasks[[#This Row],[Progress]],0)-1)))</f>
        <v>0</v>
      </c>
      <c r="GP94" s="89" t="n">
        <f aca="false">IF(Tasks[[#This Row],[Task Name]]="",0,IF(OR(NOT(Tasks[[#This Row],[_IsLeaf]]=1),Tasks[[#This Row],[_IsMilestone]],N(Tasks[[#This Row],[Progress]])&gt;=1),0,IF(Tasks[[#This Row],[_DoneTo]]&gt;0,Tasks[[#This Row],[_DoneTo]]+1,Tasks[[#This Row],[Start]])))</f>
        <v>0</v>
      </c>
      <c r="GQ94" s="89" t="n">
        <f aca="false">IF(Tasks[[#This Row],[_RemFrom]]=0,0,Tasks[[#This Row],[Finish]])</f>
        <v>0</v>
      </c>
      <c r="GR94" s="88" t="b">
        <f aca="false">IF(Tasks[[#This Row],[Task Name]]="",FALSE(),OR(NOT(BaselineSet),N(Tasks[[#This Row],[Baseline Start]])&gt;0))</f>
        <v>0</v>
      </c>
      <c r="GS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4" s="90" t="str">
        <f aca="false">IF(Tasks[[#This Row],[_IsLeaf]]=1,Tasks[[#This Row],[_Row]],"")</f>
        <v/>
      </c>
      <c r="GW94" s="90" t="str">
        <f aca="false">IFERROR(INDEX(Tasks[UID],SMALL(Tasks[_PickKey],Tasks[[#This Row],[_Row]]))&amp;" "&amp;INDEX(Tasks[Task Name],SMALL(Tasks[_PickKey],Tasks[[#This Row],[_Row]])),"")</f>
        <v/>
      </c>
      <c r="GX94" s="42" t="str">
        <f aca="false">IF(Tasks[[#This Row],[Task Name]]="","",IF(Tasks[[#This Row],[_IsSummary]],NETWORKDAYS.INTL(Tasks[[#This Row],[Start]],Tasks[[#This Row],[Finish]],WorkWeek,Holidays),N(Tasks[[#This Row],[_Days]])))</f>
        <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3"/>
      <c r="U95" s="23"/>
      <c r="V95" s="83"/>
      <c r="W95" s="23"/>
      <c r="X95" s="83"/>
      <c r="Y95" s="23"/>
      <c r="Z95" s="83"/>
      <c r="AA95" s="23"/>
      <c r="AB95" s="23"/>
      <c r="AC95" s="7"/>
      <c r="AD95" s="7"/>
      <c r="AE95" s="62" t="str">
        <f aca="false">IF(Tasks[[#This Row],[Task Name]]="","",IF(Tasks[[#This Row],[_IsSummary]],MIN(INDEX(Tasks[_ShownFcstStart],Tasks[[#This Row],[_Row]]+1):INDEX(Tasks[_ShownFcstStart],Tasks[[#This Row],[_Row]]+Tasks[[#This Row],[_Descendants]])),Tasks[[#This Row],[_ShownFcstStart]]))</f>
        <v/>
      </c>
      <c r="AF95" s="62"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5" s="7"/>
      <c r="AK95" s="22"/>
      <c r="AL95" s="23"/>
      <c r="AM95" s="7"/>
      <c r="AN95" s="46"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2" t="str">
        <f aca="false">IF(Tasks[[#This Row],[Task Name]]="","",IF(N(Tasks[[#This Row],[Baseline Start]])&gt;0,Tasks[[#This Row],[Baseline Start]],Tasks[[#This Row],[_CalcStart]]))</f>
        <v/>
      </c>
      <c r="AR95" s="62" t="str">
        <f aca="false">IF(Tasks[[#This Row],[Task Name]]="","",IF(N(Tasks[[#This Row],[Baseline Finish]])&gt;0,Tasks[[#This Row],[Baseline Finish]],Tasks[[#This Row],[_CalcFinish]]))</f>
        <v/>
      </c>
      <c r="AS95" s="46" t="str">
        <f aca="false">IF(Tasks[[#This Row],[Task Name]]="","",IF(Tasks[[#This Row],[Start]]&gt;=Tasks[[#This Row],[Planned Start]],NETWORKDAYS.INTL(Tasks[[#This Row],[Planned Start]],Tasks[[#This Row],[Start]],WorkWeek,Holidays)-1,1-NETWORKDAYS.INTL(Tasks[[#This Row],[Start]],Tasks[[#This Row],[Planned Start]],WorkWeek,Holidays)))</f>
        <v/>
      </c>
      <c r="AT95" s="62" t="str">
        <f aca="false">IF(Tasks[[#This Row],[Task Name]]="","",IF(Tasks[[#This Row],[_IsSummary]],MIN(INDEX(Tasks[_LeafLateStart],Tasks[[#This Row],[_Row]]+1):INDEX(Tasks[_LeafLateStart],Tasks[[#This Row],[_Row]]+Tasks[[#This Row],[_Descendants]])),Tasks[[#This Row],[_LeafLateStart]]))</f>
        <v/>
      </c>
      <c r="AU95" s="62" t="str">
        <f aca="false">IF(Tasks[[#This Row],[Task Name]]="","",IF(Tasks[[#This Row],[_IsSummary]],MAX(INDEX(Tasks[_LeafLateFinish],Tasks[[#This Row],[_Row]]+1):INDEX(Tasks[_LeafLateFinish],Tasks[[#This Row],[_Row]]+Tasks[[#This Row],[_Descendants]])),Tasks[[#This Row],[_LeafLateFinish]]))</f>
        <v/>
      </c>
      <c r="AV95" s="46"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4"/>
      <c r="BA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5"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6"/>
      <c r="BJ95" s="22"/>
      <c r="BK95" s="46" t="str">
        <f aca="false">IF(OR(Tasks[[#This Row],[Task Name]]="",Tasks[[#This Row],[Baseline Duration]]=""),"",Tasks[[#This Row],[_SpanDays]]-N(Tasks[[#This Row],[Baseline Duration]]))</f>
        <v/>
      </c>
      <c r="BL95" s="85" t="str">
        <f aca="false">IF(OR(Tasks[[#This Row],[Task Name]]="",Tasks[[#This Row],[Baseline Work]]=""),"",Tasks[[#This Row],[Work]]-N(Tasks[[#This Row],[Baseline Work]]))</f>
        <v/>
      </c>
      <c r="BM95" s="62" t="str">
        <f aca="false">IF(Tasks[[#This Row],[Task Name]]="","",IF(OR(TakeBaseline="Yes",N(Tasks[[#This Row],[Baseline Start]])=0),Tasks[[#This Row],[Start]],Tasks[[#This Row],[Baseline Start]]))</f>
        <v/>
      </c>
      <c r="BN95" s="62"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5" t="str">
        <f aca="false">IF(Tasks[[#This Row],[Task Name]]="","",IF(OR(TakeBaseline="Yes",N(Tasks[[#This Row],[Baseline Work]])=0),Tasks[[#This Row],[Work]],Tasks[[#This Row],[Baseline Work]]))</f>
        <v/>
      </c>
      <c r="BQ95" s="7"/>
      <c r="BR95" s="7"/>
      <c r="BS95" s="22"/>
      <c r="BT95" s="87"/>
      <c r="BU95" s="42" t="str">
        <f aca="false">IF(Tasks[[#This Row],[Task Name]]="","",MAX(1,N(Tasks[[#This Row],[Level]])))</f>
        <v/>
      </c>
      <c r="BV95" s="42" t="n">
        <f aca="false">ROW()-ROW(Tasks[[#Headers],[ID]])</f>
        <v>90</v>
      </c>
      <c r="BW95" s="42" t="n">
        <f aca="false">IF(OR(Tasks[[#This Row],[Task Name]]="",Tasks[[#This Row],[_Level]]&lt;=1),0,IFERROR(LOOKUP(2,1/(Tasks[[#Headers],[_Level]]:Tasks[[#This Row],[_Level]]=Tasks[[#This Row],[_Level]]-1),ROW(Tasks[[#Headers],[_Level]]:Tasks[[#This Row],[_Level]])),0))</f>
        <v>0</v>
      </c>
      <c r="BX95" s="42" t="n">
        <f aca="false">IFERROR(N(INDEX(Tasks[_Level],Tasks[[#This Row],[_Row]]+1)),0)</f>
        <v>0</v>
      </c>
      <c r="BY95" s="88" t="b">
        <f aca="false">AND(Tasks[[#This Row],[Task Name]]&lt;&gt;"",Tasks[[#This Row],[_NextLevel]]&gt;Tasks[[#This Row],[_Level]])</f>
        <v>0</v>
      </c>
      <c r="BZ95" s="42" t="n">
        <f aca="false">IF(Tasks[[#This Row],[_IsSummary]],COUNTIF(Tasks[WBS],Tasks[[#This Row],[WBS]]&amp;".*"),0)</f>
        <v>0</v>
      </c>
      <c r="CA95" s="42" t="n">
        <f aca="false">IF(AND(Tasks[[#This Row],[Task Name]]&lt;&gt;"",NOT(Tasks[[#This Row],[_IsSummary]])),1,0)</f>
        <v>0</v>
      </c>
      <c r="CB95" s="42" t="n">
        <f aca="false">IF(N(Tasks[[#This Row],[_Pred1UID]])=0,0,IFERROR(MATCH(Tasks[[#This Row],[_Pred1UID]],Tasks[UID],0),-1))</f>
        <v>0</v>
      </c>
      <c r="CC95" s="42" t="n">
        <f aca="false">IF(N(Tasks[[#This Row],[_Pred2UID]])=0,0,IFERROR(MATCH(Tasks[[#This Row],[_Pred2UID]],Tasks[UID],0),-1))</f>
        <v>0</v>
      </c>
      <c r="CD95" s="42" t="n">
        <f aca="false">IF(N(Tasks[[#This Row],[_Pred3UID]])=0,0,IFERROR(MATCH(Tasks[[#This Row],[_Pred3UID]],Tasks[UID],0),-1))</f>
        <v>0</v>
      </c>
      <c r="CE95" s="42" t="n">
        <f aca="false">IF(N(Tasks[[#This Row],[_Pred4UID]])=0,0,IFERROR(MATCH(Tasks[[#This Row],[_Pred4UID]],Tasks[UID],0),-1))</f>
        <v>0</v>
      </c>
      <c r="CF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5" s="89" t="n">
        <f aca="false">IF(OR(Tasks[[#This Row],[_ConstraintCode]]=2,Tasks[[#This Row],[_ConstraintCode]]=3,Tasks[[#This Row],[_ConstraintCode]]=4,Tasks[[#This Row],[_ConstraintCode]]=6),Tasks[[#This Row],[_ConstraintStart]],0)</f>
        <v>0</v>
      </c>
      <c r="CI95" s="89" t="n">
        <f aca="false">IF(OR(Tasks[[#This Row],[_ConstraintCode]]=2,Tasks[[#This Row],[_ConstraintCode]]=3,Tasks[[#This Row],[_ConstraintCode]]=5,Tasks[[#This Row],[_ConstraintCode]]=7),Tasks[[#This Row],[_ConstraintStart]],2958465)</f>
        <v>2958465</v>
      </c>
      <c r="CJ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5" s="89" t="str">
        <f aca="false">IF(NOT(Tasks[[#This Row],[_IsLeaf]]=1),"",IF(N(Tasks[[#This Row],[_Days]])&lt;=0,Tasks[[#This Row],[_LeafCalcStart]],WORKDAY.INTL(Tasks[[#This Row],[_LeafCalcStart]],Tasks[[#This Row],[_Days]]-1,WorkWeek,Holidays)))</f>
        <v/>
      </c>
      <c r="CL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5" s="42" t="str">
        <f aca="false">IF(Tasks[[#This Row],[_Predecessors]]="","",TRIM(MID(SUBSTITUTE(SUBSTITUTE(SUBSTITUTE(UPPER(Tasks[[#This Row],[_Predecessors]]),";",",")," ",""),",",REPT(" ",99)),1,99)))</f>
        <v/>
      </c>
      <c r="CO95" s="42" t="str">
        <f aca="false">IF(Tasks[[#This Row],[_Pred1Text]]="","",IFERROR(VALUE(LEFT(Tasks[[#This Row],[_Pred1Text]],MIN(FIND("F",Tasks[[#This Row],[_Pred1Text]]&amp;"F"),FIND("S",Tasks[[#This Row],[_Pred1Text]]&amp;"S"),FIND("+",Tasks[[#This Row],[_Pred1Text]]&amp;"+"),FIND("-",Tasks[[#This Row],[_Pred1Text]]&amp;"-"))-1)),""))</f>
        <v/>
      </c>
      <c r="CP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5" s="42" t="str">
        <f aca="false">IF(Tasks[[#This Row],[_Pred1Text]]="","",TRIM(MID(SUBSTITUTE(SUBSTITUTE(SUBSTITUTE(UPPER(Tasks[[#This Row],[_Predecessors]]),";",",")," ",""),",",REPT(" ",99)),100,99)))</f>
        <v/>
      </c>
      <c r="CS95" s="42" t="str">
        <f aca="false">IF(Tasks[[#This Row],[_Pred2Text]]="","",IFERROR(VALUE(LEFT(Tasks[[#This Row],[_Pred2Text]],MIN(FIND("F",Tasks[[#This Row],[_Pred2Text]]&amp;"F"),FIND("S",Tasks[[#This Row],[_Pred2Text]]&amp;"S"),FIND("+",Tasks[[#This Row],[_Pred2Text]]&amp;"+"),FIND("-",Tasks[[#This Row],[_Pred2Text]]&amp;"-"))-1)),""))</f>
        <v/>
      </c>
      <c r="CT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5" s="42" t="str">
        <f aca="false">IF(Tasks[[#This Row],[_Pred2Text]]="","",TRIM(MID(SUBSTITUTE(SUBSTITUTE(SUBSTITUTE(UPPER(Tasks[[#This Row],[_Predecessors]]),";",",")," ",""),",",REPT(" ",99)),199,99)))</f>
        <v/>
      </c>
      <c r="CW95" s="42" t="str">
        <f aca="false">IF(Tasks[[#This Row],[_Pred3Text]]="","",IFERROR(VALUE(LEFT(Tasks[[#This Row],[_Pred3Text]],MIN(FIND("F",Tasks[[#This Row],[_Pred3Text]]&amp;"F"),FIND("S",Tasks[[#This Row],[_Pred3Text]]&amp;"S"),FIND("+",Tasks[[#This Row],[_Pred3Text]]&amp;"+"),FIND("-",Tasks[[#This Row],[_Pred3Text]]&amp;"-"))-1)),""))</f>
        <v/>
      </c>
      <c r="CX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5" s="42" t="str">
        <f aca="false">IF(Tasks[[#This Row],[_Pred3Text]]="","",TRIM(MID(SUBSTITUTE(SUBSTITUTE(SUBSTITUTE(UPPER(Tasks[[#This Row],[_Predecessors]]),";",",")," ",""),",",REPT(" ",99)),298,99)))</f>
        <v/>
      </c>
      <c r="DA95" s="42" t="str">
        <f aca="false">IF(Tasks[[#This Row],[_Pred4Text]]="","",IFERROR(VALUE(LEFT(Tasks[[#This Row],[_Pred4Text]],MIN(FIND("F",Tasks[[#This Row],[_Pred4Text]]&amp;"F"),FIND("S",Tasks[[#This Row],[_Pred4Text]]&amp;"S"),FIND("+",Tasks[[#This Row],[_Pred4Text]]&amp;"+"),FIND("-",Tasks[[#This Row],[_Pred4Text]]&amp;"-"))-1)),""))</f>
        <v/>
      </c>
      <c r="DB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5" s="42" t="str">
        <f aca="false">IF(OR(Tasks[[#This Row],[Task Name]]="",Tasks[[#This Row],[_Resources]]=""),"",TRIM(MID(SUBSTITUTE(Tasks[[#This Row],[_Resources]],",",REPT(" ",99)),1,99)))</f>
        <v/>
      </c>
      <c r="DE95" s="42" t="str">
        <f aca="false">IF(Tasks[[#This Row],[_Res1Text]]="","",TRIM(MID(SUBSTITUTE(Tasks[[#This Row],[_Resources]],",",REPT(" ",99)),100,99)))</f>
        <v/>
      </c>
      <c r="DF95" s="42" t="str">
        <f aca="false">IF(Tasks[[#This Row],[_Res2Text]]="","",TRIM(MID(SUBSTITUTE(Tasks[[#This Row],[_Resources]],",",REPT(" ",99)),199,99)))</f>
        <v/>
      </c>
      <c r="DG95" s="42" t="str">
        <f aca="false">IF(Tasks[[#This Row],[_Res3Text]]="","",TRIM(MID(SUBSTITUTE(Tasks[[#This Row],[_Resources]],",",REPT(" ",99)),298,99)))</f>
        <v/>
      </c>
      <c r="DH95" s="42" t="n">
        <f aca="false">IF(Tasks[[#This Row],[_Res1Text]]="",0,IFERROR(MATCH(TRIM(LEFT(Tasks[[#This Row],[_Res1Text]],FIND("[",Tasks[[#This Row],[_Res1Text]]&amp;"[")-1)),res_Name,0),IFERROR(MATCH(TRIM(LEFT(Tasks[[#This Row],[_Res1Text]],FIND("[",Tasks[[#This Row],[_Res1Text]]&amp;"[")-1)),res_Initials,0),0)))</f>
        <v>0</v>
      </c>
      <c r="DI95" s="42" t="n">
        <f aca="false">IF(Tasks[[#This Row],[_Res2Text]]="",0,IFERROR(MATCH(TRIM(LEFT(Tasks[[#This Row],[_Res2Text]],FIND("[",Tasks[[#This Row],[_Res2Text]]&amp;"[")-1)),res_Name,0),IFERROR(MATCH(TRIM(LEFT(Tasks[[#This Row],[_Res2Text]],FIND("[",Tasks[[#This Row],[_Res2Text]]&amp;"[")-1)),res_Initials,0),0)))</f>
        <v>0</v>
      </c>
      <c r="DJ95" s="42" t="n">
        <f aca="false">IF(Tasks[[#This Row],[_Res3Text]]="",0,IFERROR(MATCH(TRIM(LEFT(Tasks[[#This Row],[_Res3Text]],FIND("[",Tasks[[#This Row],[_Res3Text]]&amp;"[")-1)),res_Name,0),IFERROR(MATCH(TRIM(LEFT(Tasks[[#This Row],[_Res3Text]],FIND("[",Tasks[[#This Row],[_Res3Text]]&amp;"[")-1)),res_Initials,0),0)))</f>
        <v>0</v>
      </c>
      <c r="DK95" s="42" t="n">
        <f aca="false">IF(Tasks[[#This Row],[_Res4Text]]="",0,IFERROR(MATCH(TRIM(LEFT(Tasks[[#This Row],[_Res4Text]],FIND("[",Tasks[[#This Row],[_Res4Text]]&amp;"[")-1)),res_Name,0),IFERROR(MATCH(TRIM(LEFT(Tasks[[#This Row],[_Res4Text]],FIND("[",Tasks[[#This Row],[_Res4Text]]&amp;"[")-1)),res_Initials,0),0)))</f>
        <v>0</v>
      </c>
      <c r="DL95" s="42" t="str">
        <f aca="false">IF(Tasks[[#This Row],[_Res1Text]]="","",IF(Tasks[[#This Row],[_Res1Row]]&gt;0,INDEX(res_Name,Tasks[[#This Row],[_Res1Row]]),TRIM(LEFT(Tasks[[#This Row],[_Res1Text]],FIND("[",Tasks[[#This Row],[_Res1Text]]&amp;"[")-1))))</f>
        <v/>
      </c>
      <c r="DM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5" s="42" t="n">
        <f aca="false">IF(NOT(Tasks[[#This Row],[_IsLeaf]]=1),0,(Tasks[[#This Row],[_Resource1]]&lt;&gt;"")+(Tasks[[#This Row],[_Res2]]&lt;&gt;"")+(Tasks[[#This Row],[_Res3]]&lt;&gt;"")+(Tasks[[#This Row],[_Res4]]&lt;&gt;""))</f>
        <v>0</v>
      </c>
      <c r="DO95" s="42" t="str">
        <f aca="false">IF(Tasks[[#This Row],[_Res2Text]]="","",IF(Tasks[[#This Row],[_Res2Row]]&gt;0,INDEX(res_Name,Tasks[[#This Row],[_Res2Row]]),TRIM(LEFT(Tasks[[#This Row],[_Res2Text]],FIND("[",Tasks[[#This Row],[_Res2Text]]&amp;"[")-1))))</f>
        <v/>
      </c>
      <c r="DP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5" s="42" t="n">
        <f aca="false">IF(OR(NOT(Tasks[[#This Row],[_IsLeaf]]=1),Tasks[[#This Row],[_Res2Row]]=0),0,N(Tasks[[#This Row],[_Days]])*HoursPerDay*IF(Tasks[[#This Row],[_Res2Units]]="",DefaultUnits,Tasks[[#This Row],[_Res2Units]]))</f>
        <v>0</v>
      </c>
      <c r="DR95" s="42" t="n">
        <f aca="false">IF(AND(AND(Tasks[[#This Row],[_IsLeaf]]=1,Tasks[[#This Row],[_LeafTotalWork]]&gt;0),Tasks[[#This Row],[_Res2Work]]&gt;0),Tasks[[#This Row],[_Res2Work]]/(Tasks[[#This Row],[_FinishWorkday]]-Tasks[[#This Row],[_StartWorkday]]+1),0)</f>
        <v>0</v>
      </c>
      <c r="DS95" s="42" t="n">
        <f aca="false">Tasks[[#This Row],[_Res2WorkPerWD]]*MAX(0,Tasks[[#This Row],[_StartWorkday]]-1)</f>
        <v>0</v>
      </c>
      <c r="DT95" s="42" t="n">
        <f aca="false">Tasks[[#This Row],[_Res2Work]]*Tasks[[#This Row],[_LeafProgress]]</f>
        <v>0</v>
      </c>
      <c r="DU95" s="42" t="str">
        <f aca="false">IF(Tasks[[#This Row],[_Res3Text]]="","",IF(Tasks[[#This Row],[_Res3Row]]&gt;0,INDEX(res_Name,Tasks[[#This Row],[_Res3Row]]),TRIM(LEFT(Tasks[[#This Row],[_Res3Text]],FIND("[",Tasks[[#This Row],[_Res3Text]]&amp;"[")-1))))</f>
        <v/>
      </c>
      <c r="DV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5" s="42" t="n">
        <f aca="false">IF(OR(NOT(Tasks[[#This Row],[_IsLeaf]]=1),Tasks[[#This Row],[_Res3Row]]=0),0,N(Tasks[[#This Row],[_Days]])*HoursPerDay*IF(Tasks[[#This Row],[_Res3Units]]="",DefaultUnits,Tasks[[#This Row],[_Res3Units]]))</f>
        <v>0</v>
      </c>
      <c r="DX95" s="42" t="n">
        <f aca="false">IF(AND(AND(Tasks[[#This Row],[_IsLeaf]]=1,Tasks[[#This Row],[_LeafTotalWork]]&gt;0),Tasks[[#This Row],[_Res3Work]]&gt;0),Tasks[[#This Row],[_Res3Work]]/(Tasks[[#This Row],[_FinishWorkday]]-Tasks[[#This Row],[_StartWorkday]]+1),0)</f>
        <v>0</v>
      </c>
      <c r="DY95" s="42" t="n">
        <f aca="false">Tasks[[#This Row],[_Res3WorkPerWD]]*MAX(0,Tasks[[#This Row],[_StartWorkday]]-1)</f>
        <v>0</v>
      </c>
      <c r="DZ95" s="42" t="n">
        <f aca="false">Tasks[[#This Row],[_Res3Work]]*Tasks[[#This Row],[_LeafProgress]]</f>
        <v>0</v>
      </c>
      <c r="EA95" s="42" t="str">
        <f aca="false">IF(Tasks[[#This Row],[_Res4Text]]="","",IF(Tasks[[#This Row],[_Res4Row]]&gt;0,INDEX(res_Name,Tasks[[#This Row],[_Res4Row]]),TRIM(LEFT(Tasks[[#This Row],[_Res4Text]],FIND("[",Tasks[[#This Row],[_Res4Text]]&amp;"[")-1))))</f>
        <v/>
      </c>
      <c r="EB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5" s="42" t="n">
        <f aca="false">IF(OR(NOT(Tasks[[#This Row],[_IsLeaf]]=1),Tasks[[#This Row],[_Res4Row]]=0),0,N(Tasks[[#This Row],[_Days]])*HoursPerDay*IF(Tasks[[#This Row],[_Res4Units]]="",DefaultUnits,Tasks[[#This Row],[_Res4Units]]))</f>
        <v>0</v>
      </c>
      <c r="ED95" s="42" t="n">
        <f aca="false">IF(AND(AND(Tasks[[#This Row],[_IsLeaf]]=1,Tasks[[#This Row],[_LeafTotalWork]]&gt;0),Tasks[[#This Row],[_Res4Work]]&gt;0),Tasks[[#This Row],[_Res4Work]]/(Tasks[[#This Row],[_FinishWorkday]]-Tasks[[#This Row],[_StartWorkday]]+1),0)</f>
        <v>0</v>
      </c>
      <c r="EE95" s="42" t="n">
        <f aca="false">Tasks[[#This Row],[_Res4WorkPerWD]]*MAX(0,Tasks[[#This Row],[_StartWorkday]]-1)</f>
        <v>0</v>
      </c>
      <c r="EF95" s="42" t="n">
        <f aca="false">Tasks[[#This Row],[_Res4Work]]*Tasks[[#This Row],[_LeafProgress]]</f>
        <v>0</v>
      </c>
      <c r="EG95" s="42" t="n">
        <f aca="false">IF(ISNUMBER(Tasks[[#This Row],[% Complete]]),Tasks[[#This Row],[% Complete]],IF(Tasks[[#This Row],[Stage]]="",0,IFERROR(INDEX(stg_Pct,MATCH(Tasks[[#This Row],[Stage]],stg_Name,0)),0)))</f>
        <v>0</v>
      </c>
      <c r="EH95" s="42" t="n">
        <f aca="false">IF(NOT(Tasks[[#This Row],[_IsLeaf]]=1),0,IF(N(Tasks[[#This Row],[Actual Finish]])&gt;0,1,MIN(1,Tasks[[#This Row],[_Pct]])))</f>
        <v>0</v>
      </c>
      <c r="EI95" s="42" t="n">
        <f aca="false">IF(OR(NOT(Tasks[[#This Row],[_IsLeaf]]=1),Tasks[[#This Row],[_Res1Row]]=0),0,N(Tasks[[#This Row],[_Days]])*HoursPerDay*IF(Tasks[[#This Row],[_Units1]]="",DefaultUnits,Tasks[[#This Row],[_Units1]]))</f>
        <v>0</v>
      </c>
      <c r="EJ95" s="42" t="n">
        <f aca="false">Tasks[[#This Row],[_LeafWork]]+Tasks[[#This Row],[_Res2Work]]+Tasks[[#This Row],[_Res3Work]]+Tasks[[#This Row],[_Res4Work]]</f>
        <v>0</v>
      </c>
      <c r="EK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5" s="42" t="n">
        <f aca="false">IF(NOT(Tasks[[#This Row],[_IsLeaf]]=1),0,MAX(_xlfn.MAXIFS(Tasks[_Row],Tasks[_Pred1UID],Tasks[[#This Row],[UID]]),_xlfn.MAXIFS(Tasks[_Row],Tasks[_Pred2UID],Tasks[[#This Row],[UID]]),_xlfn.MAXIFS(Tasks[_Row],Tasks[_Pred3UID],Tasks[[#This Row],[UID]]),_xlfn.MAXIFS(Tasks[_Row],Tasks[_Pred4UID],Tasks[[#This Row],[UID]])))</f>
        <v>0</v>
      </c>
      <c r="ET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5" s="89" t="str">
        <f aca="false">IF(NOT(Tasks[[#This Row],[_IsLeaf]]=1),"",IF(N(Tasks[[#This Row],[_Days]])&lt;=0,Tasks[[#This Row],[_LeafLateFinish]],WORKDAY.INTL(Tasks[[#This Row],[_LeafLateFinish]],-(Tasks[[#This Row],[_Days]]-1),WorkWeek,Holidays)))</f>
        <v/>
      </c>
      <c r="EW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5" s="88" t="b">
        <f aca="false">AND(Tasks[[#This Row],[_IsLeaf]]=1,Tasks[[#This Row],[_LeafProgress]]&lt;1,N(Tasks[[#This Row],[_LeafTotalSlack]])&lt;=CriticalSlackDays)</f>
        <v>0</v>
      </c>
      <c r="EY95" s="42" t="n">
        <f aca="false">IF(AND(Tasks[[#This Row],[_IsLeaf]]=1,Tasks[[#This Row],[_ConstraintCode]]=1,Tasks[[#This Row],[Mode]]&lt;&gt;"Manual",N(Tasks[[#This Row],[Actual Start]])=0),MAX(0,N(Tasks[[#This Row],[Free Slack]])),0)</f>
        <v>0</v>
      </c>
      <c r="EZ95" s="89" t="str">
        <f aca="false">IF(NOT(Tasks[[#This Row],[_IsLeaf]]=1),"",IF(Tasks[[#This Row],[_AlapShift]]=0,Tasks[[#This Row],[_LeafCalcStart]],WORKDAY.INTL(Tasks[[#This Row],[_LeafCalcStart]],Tasks[[#This Row],[_AlapShift]],WorkWeek,Holidays)))</f>
        <v/>
      </c>
      <c r="FA95" s="89" t="str">
        <f aca="false">IF(NOT(Tasks[[#This Row],[_IsLeaf]]=1),"",IF(Tasks[[#This Row],[_AlapShift]]=0,Tasks[[#This Row],[_LeafCalcFinish]],WORKDAY.INTL(Tasks[[#This Row],[_LeafCalcFinish]],Tasks[[#This Row],[_AlapShift]],WorkWeek,Holidays)))</f>
        <v/>
      </c>
      <c r="FB95" s="89" t="str">
        <f aca="false">IF(NOT(Tasks[[#This Row],[_IsLeaf]]=1),"",IF(Tasks[[#This Row],[_AlapShift]]=0,Tasks[[#This Row],[_LeafFcstStart]],WORKDAY.INTL(Tasks[[#This Row],[_LeafFcstStart]],Tasks[[#This Row],[_AlapShift]],WorkWeek,Holidays)))</f>
        <v/>
      </c>
      <c r="FC95" s="89" t="str">
        <f aca="false">IF(NOT(Tasks[[#This Row],[_IsLeaf]]=1),"",IF(Tasks[[#This Row],[_AlapShift]]=0,Tasks[[#This Row],[_LeafFcstFinish]],WORKDAY.INTL(Tasks[[#This Row],[_LeafFcstFinish]],Tasks[[#This Row],[_AlapShift]],WorkWeek,Holidays)))</f>
        <v/>
      </c>
      <c r="FD95" s="89" t="str">
        <f aca="false">IF(Tasks[[#This Row],[Task Name]]="","",IF(Tasks[[#This Row],[_IsSummary]],MIN(INDEX(Tasks[_ShownCalcStart],Tasks[[#This Row],[_Row]]+1):INDEX(Tasks[_ShownCalcStart],Tasks[[#This Row],[_Row]]+Tasks[[#This Row],[_Descendants]])),Tasks[[#This Row],[_ShownCalcStart]]))</f>
        <v/>
      </c>
      <c r="FE95" s="89" t="str">
        <f aca="false">IF(Tasks[[#This Row],[Task Name]]="","",IF(Tasks[[#This Row],[_IsSummary]],MAX(INDEX(Tasks[_ShownCalcFinish],Tasks[[#This Row],[_Row]]+1):INDEX(Tasks[_ShownCalcFinish],Tasks[[#This Row],[_Row]]+Tasks[[#This Row],[_Descendants]])),Tasks[[#This Row],[_ShownCalcFinish]]))</f>
        <v/>
      </c>
      <c r="FF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5" s="42" t="n">
        <f aca="false">IF(AND(Tasks[[#This Row],[_IsLeaf]]=1,Tasks[[#This Row],[_LeafTotalWork]]&gt;0),NETWORKDAYS.INTL(ProjectStart,Tasks[[#This Row],[_ShownFcstStart]],WorkWeek,Holidays),0)</f>
        <v>0</v>
      </c>
      <c r="FS95" s="42" t="n">
        <f aca="false">IF(AND(Tasks[[#This Row],[_IsLeaf]]=1,Tasks[[#This Row],[_LeafTotalWork]]&gt;0),MAX(Tasks[[#This Row],[_StartWorkday]],NETWORKDAYS.INTL(ProjectStart,Tasks[[#This Row],[_ShownFcstFinish]],WorkWeek,Holidays)),0)</f>
        <v>0</v>
      </c>
      <c r="FT95" s="42" t="n">
        <f aca="false">IF(AND(Tasks[[#This Row],[_IsLeaf]]=1,Tasks[[#This Row],[_LeafTotalWork]]&gt;0),Tasks[[#This Row],[_LeafWork]]/(Tasks[[#This Row],[_FinishWorkday]]-Tasks[[#This Row],[_StartWorkday]]+1),0)</f>
        <v>0</v>
      </c>
      <c r="FU95" s="42" t="n">
        <f aca="false">Tasks[[#This Row],[_WorkPerWorkday]]*(Tasks[[#This Row],[_StartWorkday]]-1)</f>
        <v>-0</v>
      </c>
      <c r="FV95" s="42" t="n">
        <f aca="false">IF(Tasks[[#This Row],[_IsLeaf]]=1,MAX(N(Tasks[[#This Row],[_Days]]),0.1),0)</f>
        <v>0</v>
      </c>
      <c r="FW95" s="42" t="n">
        <f aca="false">Tasks[[#This Row],[_WeightDur]]*Tasks[[#This Row],[_LeafProgress]]</f>
        <v>0</v>
      </c>
      <c r="FX95" s="42" t="n">
        <f aca="false">Tasks[[#This Row],[_WeightDur]]*Tasks[[#This Row],[_PlannedPct]]</f>
        <v>0</v>
      </c>
      <c r="FY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5" s="42" t="str">
        <f aca="false">IF(AND(Tasks[[#This Row],[_IsLeaf]]=1,N(Tasks[[#This Row],[_Days]])=0,Tasks[[#This Row],[_LeafProgress]]&lt;1),Tasks[[#This Row],[_ShownFcstFinish]]+Tasks[[#This Row],[_Row]]/100000,"")</f>
        <v/>
      </c>
      <c r="GA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5" s="42" t="str">
        <f aca="false">IF(Tasks[[#This Row],[Task Name]]="","",LEFT(Tasks[[#This Row],[WBS]],FIND(".",Tasks[[#This Row],[WBS]]&amp;".")-1))</f>
        <v/>
      </c>
      <c r="GC95" s="42" t="str">
        <f aca="false">IF(AND(Tasks[[#This Row],[Task Name]]&lt;&gt;"",Tasks[[#This Row],[_Level]]=1),Tasks[[#This Row],[_Row]],"")</f>
        <v/>
      </c>
      <c r="GD95" s="42" t="str">
        <f aca="false">IF(AND(Tasks[[#This Row],[_IsLeaf]]=1,N(Tasks[[#This Row],[_Days]])=0),Tasks[[#This Row],[Planned Finish]]+Tasks[[#This Row],[_Row]]/100000,"")</f>
        <v/>
      </c>
      <c r="GE95" s="42" t="str">
        <f aca="false">IF(AND(Tasks[[#This Row],[_IsLeaf]]=1,Tasks[[#This Row],[_LeafProgress]]&lt;1,OR(N(Tasks[[#This Row],[Finish Var]])&gt;0,Tasks[[#This Row],[Status]]="Late Start")),MAX(0,Tasks[[#This Row],[Finish Var]])+1-Tasks[[#This Row],[_Row]]/1000000,"")</f>
        <v/>
      </c>
      <c r="GF95" s="42" t="str">
        <f aca="false">IF(AND(Tasks[[#This Row],[_IsLeaf]]=1,N(Tasks[[#This Row],[Actual Start]])=0,Tasks[[#This Row],[_ShownFcstStart]]&gt;=StatusDate,Tasks[[#This Row],[_ShownFcstStart]]&lt;=LookaheadEnd),Tasks[[#This Row],[_ShownFcstStart]]+Tasks[[#This Row],[_Row]]/100000,"")</f>
        <v/>
      </c>
      <c r="GG95" s="42" t="str">
        <f aca="false">IF(AND(Tasks[[#This Row],[_IsLeaf]]=1,Tasks[[#This Row],[_LeafProgress]]&lt;1,Tasks[[#This Row],[_ShownFcstFinish]]&gt;=StatusDate,Tasks[[#This Row],[_ShownFcstFinish]]&lt;=LookaheadEnd),Tasks[[#This Row],[_ShownFcstFinish]]+Tasks[[#This Row],[_Row]]/100000,"")</f>
        <v/>
      </c>
      <c r="GH95" s="42" t="str">
        <f aca="false">IF(Tasks[[#This Row],[_LeafCritical]],Tasks[[#This Row],[_ShownFcstStart]]+Tasks[[#This Row],[_Row]]/100000,"")</f>
        <v/>
      </c>
      <c r="GI95" s="42" t="n">
        <f aca="false">Tasks[[#This Row],[_LeafWork]]*Tasks[[#This Row],[_LeafProgress]]</f>
        <v>0</v>
      </c>
      <c r="GJ95" s="89" t="str">
        <f aca="false">IF(AND(Tasks[[#This Row],[_IsLeaf]]=1,Tasks[[#This Row],[_LeafProgress]]&gt;=1),IF(N(Tasks[[#This Row],[Actual Finish]])&gt;0,Tasks[[#This Row],[Actual Finish]],Tasks[[#This Row],[_ShownFcstFinish]]),"")</f>
        <v/>
      </c>
      <c r="GK95" s="42" t="n">
        <f aca="false">IF(Tasks[[#This Row],[_IsLeaf]]=1,N(Tasks[[#This Row],[Story Points]]),0)</f>
        <v>0</v>
      </c>
      <c r="GL95" s="42" t="str">
        <f aca="false">""</f>
        <v/>
      </c>
      <c r="GM95" s="88" t="b">
        <f aca="false">IF(Tasks[[#This Row],[Task Name]]="",FALSE(),AND(Tasks[[#This Row],[_IsLeaf]]=1,N(Tasks[[#This Row],[_Days]])=0))</f>
        <v>0</v>
      </c>
      <c r="GN95" s="89" t="n">
        <f aca="false">IF(Tasks[[#This Row],[Task Name]]="",0,IF(AND(Tasks[[#This Row],[_IsLeaf]]=1,NOT(Tasks[[#This Row],[_IsMilestone]]),N(Tasks[[#This Row],[Progress]])&gt;0),Tasks[[#This Row],[Start]],0))</f>
        <v>0</v>
      </c>
      <c r="GO95" s="89" t="n">
        <f aca="false">IF(Tasks[[#This Row],[_DoneFrom]]=0,0,IF(Tasks[[#This Row],[Progress]]&gt;=1,Tasks[[#This Row],[Finish]],MAX(Tasks[[#This Row],[_DoneFrom]],Tasks[[#This Row],[Start]]+ROUND((Tasks[[#This Row],[Finish]]-Tasks[[#This Row],[Start]]+1)*Tasks[[#This Row],[Progress]],0)-1)))</f>
        <v>0</v>
      </c>
      <c r="GP95" s="89" t="n">
        <f aca="false">IF(Tasks[[#This Row],[Task Name]]="",0,IF(OR(NOT(Tasks[[#This Row],[_IsLeaf]]=1),Tasks[[#This Row],[_IsMilestone]],N(Tasks[[#This Row],[Progress]])&gt;=1),0,IF(Tasks[[#This Row],[_DoneTo]]&gt;0,Tasks[[#This Row],[_DoneTo]]+1,Tasks[[#This Row],[Start]])))</f>
        <v>0</v>
      </c>
      <c r="GQ95" s="89" t="n">
        <f aca="false">IF(Tasks[[#This Row],[_RemFrom]]=0,0,Tasks[[#This Row],[Finish]])</f>
        <v>0</v>
      </c>
      <c r="GR95" s="88" t="b">
        <f aca="false">IF(Tasks[[#This Row],[Task Name]]="",FALSE(),OR(NOT(BaselineSet),N(Tasks[[#This Row],[Baseline Start]])&gt;0))</f>
        <v>0</v>
      </c>
      <c r="GS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5" s="90" t="str">
        <f aca="false">IF(Tasks[[#This Row],[_IsLeaf]]=1,Tasks[[#This Row],[_Row]],"")</f>
        <v/>
      </c>
      <c r="GW95" s="90" t="str">
        <f aca="false">IFERROR(INDEX(Tasks[UID],SMALL(Tasks[_PickKey],Tasks[[#This Row],[_Row]]))&amp;" "&amp;INDEX(Tasks[Task Name],SMALL(Tasks[_PickKey],Tasks[[#This Row],[_Row]])),"")</f>
        <v/>
      </c>
      <c r="GX95" s="42" t="str">
        <f aca="false">IF(Tasks[[#This Row],[Task Name]]="","",IF(Tasks[[#This Row],[_IsSummary]],NETWORKDAYS.INTL(Tasks[[#This Row],[Start]],Tasks[[#This Row],[Finish]],WorkWeek,Holidays),N(Tasks[[#This Row],[_Days]])))</f>
        <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3"/>
      <c r="U96" s="23"/>
      <c r="V96" s="83"/>
      <c r="W96" s="23"/>
      <c r="X96" s="83"/>
      <c r="Y96" s="23"/>
      <c r="Z96" s="83"/>
      <c r="AA96" s="23"/>
      <c r="AB96" s="23"/>
      <c r="AC96" s="7"/>
      <c r="AD96" s="7"/>
      <c r="AE96" s="62" t="str">
        <f aca="false">IF(Tasks[[#This Row],[Task Name]]="","",IF(Tasks[[#This Row],[_IsSummary]],MIN(INDEX(Tasks[_ShownFcstStart],Tasks[[#This Row],[_Row]]+1):INDEX(Tasks[_ShownFcstStart],Tasks[[#This Row],[_Row]]+Tasks[[#This Row],[_Descendants]])),Tasks[[#This Row],[_ShownFcstStart]]))</f>
        <v/>
      </c>
      <c r="AF96" s="62"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6" s="7"/>
      <c r="AK96" s="22"/>
      <c r="AL96" s="23"/>
      <c r="AM96" s="7"/>
      <c r="AN96" s="46"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2" t="str">
        <f aca="false">IF(Tasks[[#This Row],[Task Name]]="","",IF(N(Tasks[[#This Row],[Baseline Start]])&gt;0,Tasks[[#This Row],[Baseline Start]],Tasks[[#This Row],[_CalcStart]]))</f>
        <v/>
      </c>
      <c r="AR96" s="62" t="str">
        <f aca="false">IF(Tasks[[#This Row],[Task Name]]="","",IF(N(Tasks[[#This Row],[Baseline Finish]])&gt;0,Tasks[[#This Row],[Baseline Finish]],Tasks[[#This Row],[_CalcFinish]]))</f>
        <v/>
      </c>
      <c r="AS96" s="46" t="str">
        <f aca="false">IF(Tasks[[#This Row],[Task Name]]="","",IF(Tasks[[#This Row],[Start]]&gt;=Tasks[[#This Row],[Planned Start]],NETWORKDAYS.INTL(Tasks[[#This Row],[Planned Start]],Tasks[[#This Row],[Start]],WorkWeek,Holidays)-1,1-NETWORKDAYS.INTL(Tasks[[#This Row],[Start]],Tasks[[#This Row],[Planned Start]],WorkWeek,Holidays)))</f>
        <v/>
      </c>
      <c r="AT96" s="62" t="str">
        <f aca="false">IF(Tasks[[#This Row],[Task Name]]="","",IF(Tasks[[#This Row],[_IsSummary]],MIN(INDEX(Tasks[_LeafLateStart],Tasks[[#This Row],[_Row]]+1):INDEX(Tasks[_LeafLateStart],Tasks[[#This Row],[_Row]]+Tasks[[#This Row],[_Descendants]])),Tasks[[#This Row],[_LeafLateStart]]))</f>
        <v/>
      </c>
      <c r="AU96" s="62" t="str">
        <f aca="false">IF(Tasks[[#This Row],[Task Name]]="","",IF(Tasks[[#This Row],[_IsSummary]],MAX(INDEX(Tasks[_LeafLateFinish],Tasks[[#This Row],[_Row]]+1):INDEX(Tasks[_LeafLateFinish],Tasks[[#This Row],[_Row]]+Tasks[[#This Row],[_Descendants]])),Tasks[[#This Row],[_LeafLateFinish]]))</f>
        <v/>
      </c>
      <c r="AV96" s="46"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4"/>
      <c r="BA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5"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6"/>
      <c r="BJ96" s="22"/>
      <c r="BK96" s="46" t="str">
        <f aca="false">IF(OR(Tasks[[#This Row],[Task Name]]="",Tasks[[#This Row],[Baseline Duration]]=""),"",Tasks[[#This Row],[_SpanDays]]-N(Tasks[[#This Row],[Baseline Duration]]))</f>
        <v/>
      </c>
      <c r="BL96" s="85" t="str">
        <f aca="false">IF(OR(Tasks[[#This Row],[Task Name]]="",Tasks[[#This Row],[Baseline Work]]=""),"",Tasks[[#This Row],[Work]]-N(Tasks[[#This Row],[Baseline Work]]))</f>
        <v/>
      </c>
      <c r="BM96" s="62" t="str">
        <f aca="false">IF(Tasks[[#This Row],[Task Name]]="","",IF(OR(TakeBaseline="Yes",N(Tasks[[#This Row],[Baseline Start]])=0),Tasks[[#This Row],[Start]],Tasks[[#This Row],[Baseline Start]]))</f>
        <v/>
      </c>
      <c r="BN96" s="62"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5" t="str">
        <f aca="false">IF(Tasks[[#This Row],[Task Name]]="","",IF(OR(TakeBaseline="Yes",N(Tasks[[#This Row],[Baseline Work]])=0),Tasks[[#This Row],[Work]],Tasks[[#This Row],[Baseline Work]]))</f>
        <v/>
      </c>
      <c r="BQ96" s="7"/>
      <c r="BR96" s="7"/>
      <c r="BS96" s="22"/>
      <c r="BT96" s="87"/>
      <c r="BU96" s="42" t="str">
        <f aca="false">IF(Tasks[[#This Row],[Task Name]]="","",MAX(1,N(Tasks[[#This Row],[Level]])))</f>
        <v/>
      </c>
      <c r="BV96" s="42" t="n">
        <f aca="false">ROW()-ROW(Tasks[[#Headers],[ID]])</f>
        <v>91</v>
      </c>
      <c r="BW96" s="42" t="n">
        <f aca="false">IF(OR(Tasks[[#This Row],[Task Name]]="",Tasks[[#This Row],[_Level]]&lt;=1),0,IFERROR(LOOKUP(2,1/(Tasks[[#Headers],[_Level]]:Tasks[[#This Row],[_Level]]=Tasks[[#This Row],[_Level]]-1),ROW(Tasks[[#Headers],[_Level]]:Tasks[[#This Row],[_Level]])),0))</f>
        <v>0</v>
      </c>
      <c r="BX96" s="42" t="n">
        <f aca="false">IFERROR(N(INDEX(Tasks[_Level],Tasks[[#This Row],[_Row]]+1)),0)</f>
        <v>0</v>
      </c>
      <c r="BY96" s="88" t="b">
        <f aca="false">AND(Tasks[[#This Row],[Task Name]]&lt;&gt;"",Tasks[[#This Row],[_NextLevel]]&gt;Tasks[[#This Row],[_Level]])</f>
        <v>0</v>
      </c>
      <c r="BZ96" s="42" t="n">
        <f aca="false">IF(Tasks[[#This Row],[_IsSummary]],COUNTIF(Tasks[WBS],Tasks[[#This Row],[WBS]]&amp;".*"),0)</f>
        <v>0</v>
      </c>
      <c r="CA96" s="42" t="n">
        <f aca="false">IF(AND(Tasks[[#This Row],[Task Name]]&lt;&gt;"",NOT(Tasks[[#This Row],[_IsSummary]])),1,0)</f>
        <v>0</v>
      </c>
      <c r="CB96" s="42" t="n">
        <f aca="false">IF(N(Tasks[[#This Row],[_Pred1UID]])=0,0,IFERROR(MATCH(Tasks[[#This Row],[_Pred1UID]],Tasks[UID],0),-1))</f>
        <v>0</v>
      </c>
      <c r="CC96" s="42" t="n">
        <f aca="false">IF(N(Tasks[[#This Row],[_Pred2UID]])=0,0,IFERROR(MATCH(Tasks[[#This Row],[_Pred2UID]],Tasks[UID],0),-1))</f>
        <v>0</v>
      </c>
      <c r="CD96" s="42" t="n">
        <f aca="false">IF(N(Tasks[[#This Row],[_Pred3UID]])=0,0,IFERROR(MATCH(Tasks[[#This Row],[_Pred3UID]],Tasks[UID],0),-1))</f>
        <v>0</v>
      </c>
      <c r="CE96" s="42" t="n">
        <f aca="false">IF(N(Tasks[[#This Row],[_Pred4UID]])=0,0,IFERROR(MATCH(Tasks[[#This Row],[_Pred4UID]],Tasks[UID],0),-1))</f>
        <v>0</v>
      </c>
      <c r="CF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6" s="89" t="n">
        <f aca="false">IF(OR(Tasks[[#This Row],[_ConstraintCode]]=2,Tasks[[#This Row],[_ConstraintCode]]=3,Tasks[[#This Row],[_ConstraintCode]]=4,Tasks[[#This Row],[_ConstraintCode]]=6),Tasks[[#This Row],[_ConstraintStart]],0)</f>
        <v>0</v>
      </c>
      <c r="CI96" s="89" t="n">
        <f aca="false">IF(OR(Tasks[[#This Row],[_ConstraintCode]]=2,Tasks[[#This Row],[_ConstraintCode]]=3,Tasks[[#This Row],[_ConstraintCode]]=5,Tasks[[#This Row],[_ConstraintCode]]=7),Tasks[[#This Row],[_ConstraintStart]],2958465)</f>
        <v>2958465</v>
      </c>
      <c r="CJ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6" s="89" t="str">
        <f aca="false">IF(NOT(Tasks[[#This Row],[_IsLeaf]]=1),"",IF(N(Tasks[[#This Row],[_Days]])&lt;=0,Tasks[[#This Row],[_LeafCalcStart]],WORKDAY.INTL(Tasks[[#This Row],[_LeafCalcStart]],Tasks[[#This Row],[_Days]]-1,WorkWeek,Holidays)))</f>
        <v/>
      </c>
      <c r="CL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6" s="42" t="str">
        <f aca="false">IF(Tasks[[#This Row],[_Predecessors]]="","",TRIM(MID(SUBSTITUTE(SUBSTITUTE(SUBSTITUTE(UPPER(Tasks[[#This Row],[_Predecessors]]),";",",")," ",""),",",REPT(" ",99)),1,99)))</f>
        <v/>
      </c>
      <c r="CO96" s="42" t="str">
        <f aca="false">IF(Tasks[[#This Row],[_Pred1Text]]="","",IFERROR(VALUE(LEFT(Tasks[[#This Row],[_Pred1Text]],MIN(FIND("F",Tasks[[#This Row],[_Pred1Text]]&amp;"F"),FIND("S",Tasks[[#This Row],[_Pred1Text]]&amp;"S"),FIND("+",Tasks[[#This Row],[_Pred1Text]]&amp;"+"),FIND("-",Tasks[[#This Row],[_Pred1Text]]&amp;"-"))-1)),""))</f>
        <v/>
      </c>
      <c r="CP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6" s="42" t="str">
        <f aca="false">IF(Tasks[[#This Row],[_Pred1Text]]="","",TRIM(MID(SUBSTITUTE(SUBSTITUTE(SUBSTITUTE(UPPER(Tasks[[#This Row],[_Predecessors]]),";",",")," ",""),",",REPT(" ",99)),100,99)))</f>
        <v/>
      </c>
      <c r="CS96" s="42" t="str">
        <f aca="false">IF(Tasks[[#This Row],[_Pred2Text]]="","",IFERROR(VALUE(LEFT(Tasks[[#This Row],[_Pred2Text]],MIN(FIND("F",Tasks[[#This Row],[_Pred2Text]]&amp;"F"),FIND("S",Tasks[[#This Row],[_Pred2Text]]&amp;"S"),FIND("+",Tasks[[#This Row],[_Pred2Text]]&amp;"+"),FIND("-",Tasks[[#This Row],[_Pred2Text]]&amp;"-"))-1)),""))</f>
        <v/>
      </c>
      <c r="CT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6" s="42" t="str">
        <f aca="false">IF(Tasks[[#This Row],[_Pred2Text]]="","",TRIM(MID(SUBSTITUTE(SUBSTITUTE(SUBSTITUTE(UPPER(Tasks[[#This Row],[_Predecessors]]),";",",")," ",""),",",REPT(" ",99)),199,99)))</f>
        <v/>
      </c>
      <c r="CW96" s="42" t="str">
        <f aca="false">IF(Tasks[[#This Row],[_Pred3Text]]="","",IFERROR(VALUE(LEFT(Tasks[[#This Row],[_Pred3Text]],MIN(FIND("F",Tasks[[#This Row],[_Pred3Text]]&amp;"F"),FIND("S",Tasks[[#This Row],[_Pred3Text]]&amp;"S"),FIND("+",Tasks[[#This Row],[_Pred3Text]]&amp;"+"),FIND("-",Tasks[[#This Row],[_Pred3Text]]&amp;"-"))-1)),""))</f>
        <v/>
      </c>
      <c r="CX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6" s="42" t="str">
        <f aca="false">IF(Tasks[[#This Row],[_Pred3Text]]="","",TRIM(MID(SUBSTITUTE(SUBSTITUTE(SUBSTITUTE(UPPER(Tasks[[#This Row],[_Predecessors]]),";",",")," ",""),",",REPT(" ",99)),298,99)))</f>
        <v/>
      </c>
      <c r="DA96" s="42" t="str">
        <f aca="false">IF(Tasks[[#This Row],[_Pred4Text]]="","",IFERROR(VALUE(LEFT(Tasks[[#This Row],[_Pred4Text]],MIN(FIND("F",Tasks[[#This Row],[_Pred4Text]]&amp;"F"),FIND("S",Tasks[[#This Row],[_Pred4Text]]&amp;"S"),FIND("+",Tasks[[#This Row],[_Pred4Text]]&amp;"+"),FIND("-",Tasks[[#This Row],[_Pred4Text]]&amp;"-"))-1)),""))</f>
        <v/>
      </c>
      <c r="DB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6" s="42" t="str">
        <f aca="false">IF(OR(Tasks[[#This Row],[Task Name]]="",Tasks[[#This Row],[_Resources]]=""),"",TRIM(MID(SUBSTITUTE(Tasks[[#This Row],[_Resources]],",",REPT(" ",99)),1,99)))</f>
        <v/>
      </c>
      <c r="DE96" s="42" t="str">
        <f aca="false">IF(Tasks[[#This Row],[_Res1Text]]="","",TRIM(MID(SUBSTITUTE(Tasks[[#This Row],[_Resources]],",",REPT(" ",99)),100,99)))</f>
        <v/>
      </c>
      <c r="DF96" s="42" t="str">
        <f aca="false">IF(Tasks[[#This Row],[_Res2Text]]="","",TRIM(MID(SUBSTITUTE(Tasks[[#This Row],[_Resources]],",",REPT(" ",99)),199,99)))</f>
        <v/>
      </c>
      <c r="DG96" s="42" t="str">
        <f aca="false">IF(Tasks[[#This Row],[_Res3Text]]="","",TRIM(MID(SUBSTITUTE(Tasks[[#This Row],[_Resources]],",",REPT(" ",99)),298,99)))</f>
        <v/>
      </c>
      <c r="DH96" s="42" t="n">
        <f aca="false">IF(Tasks[[#This Row],[_Res1Text]]="",0,IFERROR(MATCH(TRIM(LEFT(Tasks[[#This Row],[_Res1Text]],FIND("[",Tasks[[#This Row],[_Res1Text]]&amp;"[")-1)),res_Name,0),IFERROR(MATCH(TRIM(LEFT(Tasks[[#This Row],[_Res1Text]],FIND("[",Tasks[[#This Row],[_Res1Text]]&amp;"[")-1)),res_Initials,0),0)))</f>
        <v>0</v>
      </c>
      <c r="DI96" s="42" t="n">
        <f aca="false">IF(Tasks[[#This Row],[_Res2Text]]="",0,IFERROR(MATCH(TRIM(LEFT(Tasks[[#This Row],[_Res2Text]],FIND("[",Tasks[[#This Row],[_Res2Text]]&amp;"[")-1)),res_Name,0),IFERROR(MATCH(TRIM(LEFT(Tasks[[#This Row],[_Res2Text]],FIND("[",Tasks[[#This Row],[_Res2Text]]&amp;"[")-1)),res_Initials,0),0)))</f>
        <v>0</v>
      </c>
      <c r="DJ96" s="42" t="n">
        <f aca="false">IF(Tasks[[#This Row],[_Res3Text]]="",0,IFERROR(MATCH(TRIM(LEFT(Tasks[[#This Row],[_Res3Text]],FIND("[",Tasks[[#This Row],[_Res3Text]]&amp;"[")-1)),res_Name,0),IFERROR(MATCH(TRIM(LEFT(Tasks[[#This Row],[_Res3Text]],FIND("[",Tasks[[#This Row],[_Res3Text]]&amp;"[")-1)),res_Initials,0),0)))</f>
        <v>0</v>
      </c>
      <c r="DK96" s="42" t="n">
        <f aca="false">IF(Tasks[[#This Row],[_Res4Text]]="",0,IFERROR(MATCH(TRIM(LEFT(Tasks[[#This Row],[_Res4Text]],FIND("[",Tasks[[#This Row],[_Res4Text]]&amp;"[")-1)),res_Name,0),IFERROR(MATCH(TRIM(LEFT(Tasks[[#This Row],[_Res4Text]],FIND("[",Tasks[[#This Row],[_Res4Text]]&amp;"[")-1)),res_Initials,0),0)))</f>
        <v>0</v>
      </c>
      <c r="DL96" s="42" t="str">
        <f aca="false">IF(Tasks[[#This Row],[_Res1Text]]="","",IF(Tasks[[#This Row],[_Res1Row]]&gt;0,INDEX(res_Name,Tasks[[#This Row],[_Res1Row]]),TRIM(LEFT(Tasks[[#This Row],[_Res1Text]],FIND("[",Tasks[[#This Row],[_Res1Text]]&amp;"[")-1))))</f>
        <v/>
      </c>
      <c r="DM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6" s="42" t="n">
        <f aca="false">IF(NOT(Tasks[[#This Row],[_IsLeaf]]=1),0,(Tasks[[#This Row],[_Resource1]]&lt;&gt;"")+(Tasks[[#This Row],[_Res2]]&lt;&gt;"")+(Tasks[[#This Row],[_Res3]]&lt;&gt;"")+(Tasks[[#This Row],[_Res4]]&lt;&gt;""))</f>
        <v>0</v>
      </c>
      <c r="DO96" s="42" t="str">
        <f aca="false">IF(Tasks[[#This Row],[_Res2Text]]="","",IF(Tasks[[#This Row],[_Res2Row]]&gt;0,INDEX(res_Name,Tasks[[#This Row],[_Res2Row]]),TRIM(LEFT(Tasks[[#This Row],[_Res2Text]],FIND("[",Tasks[[#This Row],[_Res2Text]]&amp;"[")-1))))</f>
        <v/>
      </c>
      <c r="DP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6" s="42" t="n">
        <f aca="false">IF(OR(NOT(Tasks[[#This Row],[_IsLeaf]]=1),Tasks[[#This Row],[_Res2Row]]=0),0,N(Tasks[[#This Row],[_Days]])*HoursPerDay*IF(Tasks[[#This Row],[_Res2Units]]="",DefaultUnits,Tasks[[#This Row],[_Res2Units]]))</f>
        <v>0</v>
      </c>
      <c r="DR96" s="42" t="n">
        <f aca="false">IF(AND(AND(Tasks[[#This Row],[_IsLeaf]]=1,Tasks[[#This Row],[_LeafTotalWork]]&gt;0),Tasks[[#This Row],[_Res2Work]]&gt;0),Tasks[[#This Row],[_Res2Work]]/(Tasks[[#This Row],[_FinishWorkday]]-Tasks[[#This Row],[_StartWorkday]]+1),0)</f>
        <v>0</v>
      </c>
      <c r="DS96" s="42" t="n">
        <f aca="false">Tasks[[#This Row],[_Res2WorkPerWD]]*MAX(0,Tasks[[#This Row],[_StartWorkday]]-1)</f>
        <v>0</v>
      </c>
      <c r="DT96" s="42" t="n">
        <f aca="false">Tasks[[#This Row],[_Res2Work]]*Tasks[[#This Row],[_LeafProgress]]</f>
        <v>0</v>
      </c>
      <c r="DU96" s="42" t="str">
        <f aca="false">IF(Tasks[[#This Row],[_Res3Text]]="","",IF(Tasks[[#This Row],[_Res3Row]]&gt;0,INDEX(res_Name,Tasks[[#This Row],[_Res3Row]]),TRIM(LEFT(Tasks[[#This Row],[_Res3Text]],FIND("[",Tasks[[#This Row],[_Res3Text]]&amp;"[")-1))))</f>
        <v/>
      </c>
      <c r="DV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6" s="42" t="n">
        <f aca="false">IF(OR(NOT(Tasks[[#This Row],[_IsLeaf]]=1),Tasks[[#This Row],[_Res3Row]]=0),0,N(Tasks[[#This Row],[_Days]])*HoursPerDay*IF(Tasks[[#This Row],[_Res3Units]]="",DefaultUnits,Tasks[[#This Row],[_Res3Units]]))</f>
        <v>0</v>
      </c>
      <c r="DX96" s="42" t="n">
        <f aca="false">IF(AND(AND(Tasks[[#This Row],[_IsLeaf]]=1,Tasks[[#This Row],[_LeafTotalWork]]&gt;0),Tasks[[#This Row],[_Res3Work]]&gt;0),Tasks[[#This Row],[_Res3Work]]/(Tasks[[#This Row],[_FinishWorkday]]-Tasks[[#This Row],[_StartWorkday]]+1),0)</f>
        <v>0</v>
      </c>
      <c r="DY96" s="42" t="n">
        <f aca="false">Tasks[[#This Row],[_Res3WorkPerWD]]*MAX(0,Tasks[[#This Row],[_StartWorkday]]-1)</f>
        <v>0</v>
      </c>
      <c r="DZ96" s="42" t="n">
        <f aca="false">Tasks[[#This Row],[_Res3Work]]*Tasks[[#This Row],[_LeafProgress]]</f>
        <v>0</v>
      </c>
      <c r="EA96" s="42" t="str">
        <f aca="false">IF(Tasks[[#This Row],[_Res4Text]]="","",IF(Tasks[[#This Row],[_Res4Row]]&gt;0,INDEX(res_Name,Tasks[[#This Row],[_Res4Row]]),TRIM(LEFT(Tasks[[#This Row],[_Res4Text]],FIND("[",Tasks[[#This Row],[_Res4Text]]&amp;"[")-1))))</f>
        <v/>
      </c>
      <c r="EB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6" s="42" t="n">
        <f aca="false">IF(OR(NOT(Tasks[[#This Row],[_IsLeaf]]=1),Tasks[[#This Row],[_Res4Row]]=0),0,N(Tasks[[#This Row],[_Days]])*HoursPerDay*IF(Tasks[[#This Row],[_Res4Units]]="",DefaultUnits,Tasks[[#This Row],[_Res4Units]]))</f>
        <v>0</v>
      </c>
      <c r="ED96" s="42" t="n">
        <f aca="false">IF(AND(AND(Tasks[[#This Row],[_IsLeaf]]=1,Tasks[[#This Row],[_LeafTotalWork]]&gt;0),Tasks[[#This Row],[_Res4Work]]&gt;0),Tasks[[#This Row],[_Res4Work]]/(Tasks[[#This Row],[_FinishWorkday]]-Tasks[[#This Row],[_StartWorkday]]+1),0)</f>
        <v>0</v>
      </c>
      <c r="EE96" s="42" t="n">
        <f aca="false">Tasks[[#This Row],[_Res4WorkPerWD]]*MAX(0,Tasks[[#This Row],[_StartWorkday]]-1)</f>
        <v>0</v>
      </c>
      <c r="EF96" s="42" t="n">
        <f aca="false">Tasks[[#This Row],[_Res4Work]]*Tasks[[#This Row],[_LeafProgress]]</f>
        <v>0</v>
      </c>
      <c r="EG96" s="42" t="n">
        <f aca="false">IF(ISNUMBER(Tasks[[#This Row],[% Complete]]),Tasks[[#This Row],[% Complete]],IF(Tasks[[#This Row],[Stage]]="",0,IFERROR(INDEX(stg_Pct,MATCH(Tasks[[#This Row],[Stage]],stg_Name,0)),0)))</f>
        <v>0</v>
      </c>
      <c r="EH96" s="42" t="n">
        <f aca="false">IF(NOT(Tasks[[#This Row],[_IsLeaf]]=1),0,IF(N(Tasks[[#This Row],[Actual Finish]])&gt;0,1,MIN(1,Tasks[[#This Row],[_Pct]])))</f>
        <v>0</v>
      </c>
      <c r="EI96" s="42" t="n">
        <f aca="false">IF(OR(NOT(Tasks[[#This Row],[_IsLeaf]]=1),Tasks[[#This Row],[_Res1Row]]=0),0,N(Tasks[[#This Row],[_Days]])*HoursPerDay*IF(Tasks[[#This Row],[_Units1]]="",DefaultUnits,Tasks[[#This Row],[_Units1]]))</f>
        <v>0</v>
      </c>
      <c r="EJ96" s="42" t="n">
        <f aca="false">Tasks[[#This Row],[_LeafWork]]+Tasks[[#This Row],[_Res2Work]]+Tasks[[#This Row],[_Res3Work]]+Tasks[[#This Row],[_Res4Work]]</f>
        <v>0</v>
      </c>
      <c r="EK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6" s="42" t="n">
        <f aca="false">IF(NOT(Tasks[[#This Row],[_IsLeaf]]=1),0,MAX(_xlfn.MAXIFS(Tasks[_Row],Tasks[_Pred1UID],Tasks[[#This Row],[UID]]),_xlfn.MAXIFS(Tasks[_Row],Tasks[_Pred2UID],Tasks[[#This Row],[UID]]),_xlfn.MAXIFS(Tasks[_Row],Tasks[_Pred3UID],Tasks[[#This Row],[UID]]),_xlfn.MAXIFS(Tasks[_Row],Tasks[_Pred4UID],Tasks[[#This Row],[UID]])))</f>
        <v>0</v>
      </c>
      <c r="ET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6" s="89" t="str">
        <f aca="false">IF(NOT(Tasks[[#This Row],[_IsLeaf]]=1),"",IF(N(Tasks[[#This Row],[_Days]])&lt;=0,Tasks[[#This Row],[_LeafLateFinish]],WORKDAY.INTL(Tasks[[#This Row],[_LeafLateFinish]],-(Tasks[[#This Row],[_Days]]-1),WorkWeek,Holidays)))</f>
        <v/>
      </c>
      <c r="EW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6" s="88" t="b">
        <f aca="false">AND(Tasks[[#This Row],[_IsLeaf]]=1,Tasks[[#This Row],[_LeafProgress]]&lt;1,N(Tasks[[#This Row],[_LeafTotalSlack]])&lt;=CriticalSlackDays)</f>
        <v>0</v>
      </c>
      <c r="EY96" s="42" t="n">
        <f aca="false">IF(AND(Tasks[[#This Row],[_IsLeaf]]=1,Tasks[[#This Row],[_ConstraintCode]]=1,Tasks[[#This Row],[Mode]]&lt;&gt;"Manual",N(Tasks[[#This Row],[Actual Start]])=0),MAX(0,N(Tasks[[#This Row],[Free Slack]])),0)</f>
        <v>0</v>
      </c>
      <c r="EZ96" s="89" t="str">
        <f aca="false">IF(NOT(Tasks[[#This Row],[_IsLeaf]]=1),"",IF(Tasks[[#This Row],[_AlapShift]]=0,Tasks[[#This Row],[_LeafCalcStart]],WORKDAY.INTL(Tasks[[#This Row],[_LeafCalcStart]],Tasks[[#This Row],[_AlapShift]],WorkWeek,Holidays)))</f>
        <v/>
      </c>
      <c r="FA96" s="89" t="str">
        <f aca="false">IF(NOT(Tasks[[#This Row],[_IsLeaf]]=1),"",IF(Tasks[[#This Row],[_AlapShift]]=0,Tasks[[#This Row],[_LeafCalcFinish]],WORKDAY.INTL(Tasks[[#This Row],[_LeafCalcFinish]],Tasks[[#This Row],[_AlapShift]],WorkWeek,Holidays)))</f>
        <v/>
      </c>
      <c r="FB96" s="89" t="str">
        <f aca="false">IF(NOT(Tasks[[#This Row],[_IsLeaf]]=1),"",IF(Tasks[[#This Row],[_AlapShift]]=0,Tasks[[#This Row],[_LeafFcstStart]],WORKDAY.INTL(Tasks[[#This Row],[_LeafFcstStart]],Tasks[[#This Row],[_AlapShift]],WorkWeek,Holidays)))</f>
        <v/>
      </c>
      <c r="FC96" s="89" t="str">
        <f aca="false">IF(NOT(Tasks[[#This Row],[_IsLeaf]]=1),"",IF(Tasks[[#This Row],[_AlapShift]]=0,Tasks[[#This Row],[_LeafFcstFinish]],WORKDAY.INTL(Tasks[[#This Row],[_LeafFcstFinish]],Tasks[[#This Row],[_AlapShift]],WorkWeek,Holidays)))</f>
        <v/>
      </c>
      <c r="FD96" s="89" t="str">
        <f aca="false">IF(Tasks[[#This Row],[Task Name]]="","",IF(Tasks[[#This Row],[_IsSummary]],MIN(INDEX(Tasks[_ShownCalcStart],Tasks[[#This Row],[_Row]]+1):INDEX(Tasks[_ShownCalcStart],Tasks[[#This Row],[_Row]]+Tasks[[#This Row],[_Descendants]])),Tasks[[#This Row],[_ShownCalcStart]]))</f>
        <v/>
      </c>
      <c r="FE96" s="89" t="str">
        <f aca="false">IF(Tasks[[#This Row],[Task Name]]="","",IF(Tasks[[#This Row],[_IsSummary]],MAX(INDEX(Tasks[_ShownCalcFinish],Tasks[[#This Row],[_Row]]+1):INDEX(Tasks[_ShownCalcFinish],Tasks[[#This Row],[_Row]]+Tasks[[#This Row],[_Descendants]])),Tasks[[#This Row],[_ShownCalcFinish]]))</f>
        <v/>
      </c>
      <c r="FF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6" s="42" t="n">
        <f aca="false">IF(AND(Tasks[[#This Row],[_IsLeaf]]=1,Tasks[[#This Row],[_LeafTotalWork]]&gt;0),NETWORKDAYS.INTL(ProjectStart,Tasks[[#This Row],[_ShownFcstStart]],WorkWeek,Holidays),0)</f>
        <v>0</v>
      </c>
      <c r="FS96" s="42" t="n">
        <f aca="false">IF(AND(Tasks[[#This Row],[_IsLeaf]]=1,Tasks[[#This Row],[_LeafTotalWork]]&gt;0),MAX(Tasks[[#This Row],[_StartWorkday]],NETWORKDAYS.INTL(ProjectStart,Tasks[[#This Row],[_ShownFcstFinish]],WorkWeek,Holidays)),0)</f>
        <v>0</v>
      </c>
      <c r="FT96" s="42" t="n">
        <f aca="false">IF(AND(Tasks[[#This Row],[_IsLeaf]]=1,Tasks[[#This Row],[_LeafTotalWork]]&gt;0),Tasks[[#This Row],[_LeafWork]]/(Tasks[[#This Row],[_FinishWorkday]]-Tasks[[#This Row],[_StartWorkday]]+1),0)</f>
        <v>0</v>
      </c>
      <c r="FU96" s="42" t="n">
        <f aca="false">Tasks[[#This Row],[_WorkPerWorkday]]*(Tasks[[#This Row],[_StartWorkday]]-1)</f>
        <v>-0</v>
      </c>
      <c r="FV96" s="42" t="n">
        <f aca="false">IF(Tasks[[#This Row],[_IsLeaf]]=1,MAX(N(Tasks[[#This Row],[_Days]]),0.1),0)</f>
        <v>0</v>
      </c>
      <c r="FW96" s="42" t="n">
        <f aca="false">Tasks[[#This Row],[_WeightDur]]*Tasks[[#This Row],[_LeafProgress]]</f>
        <v>0</v>
      </c>
      <c r="FX96" s="42" t="n">
        <f aca="false">Tasks[[#This Row],[_WeightDur]]*Tasks[[#This Row],[_PlannedPct]]</f>
        <v>0</v>
      </c>
      <c r="FY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6" s="42" t="str">
        <f aca="false">IF(AND(Tasks[[#This Row],[_IsLeaf]]=1,N(Tasks[[#This Row],[_Days]])=0,Tasks[[#This Row],[_LeafProgress]]&lt;1),Tasks[[#This Row],[_ShownFcstFinish]]+Tasks[[#This Row],[_Row]]/100000,"")</f>
        <v/>
      </c>
      <c r="GA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6" s="42" t="str">
        <f aca="false">IF(Tasks[[#This Row],[Task Name]]="","",LEFT(Tasks[[#This Row],[WBS]],FIND(".",Tasks[[#This Row],[WBS]]&amp;".")-1))</f>
        <v/>
      </c>
      <c r="GC96" s="42" t="str">
        <f aca="false">IF(AND(Tasks[[#This Row],[Task Name]]&lt;&gt;"",Tasks[[#This Row],[_Level]]=1),Tasks[[#This Row],[_Row]],"")</f>
        <v/>
      </c>
      <c r="GD96" s="42" t="str">
        <f aca="false">IF(AND(Tasks[[#This Row],[_IsLeaf]]=1,N(Tasks[[#This Row],[_Days]])=0),Tasks[[#This Row],[Planned Finish]]+Tasks[[#This Row],[_Row]]/100000,"")</f>
        <v/>
      </c>
      <c r="GE96" s="42" t="str">
        <f aca="false">IF(AND(Tasks[[#This Row],[_IsLeaf]]=1,Tasks[[#This Row],[_LeafProgress]]&lt;1,OR(N(Tasks[[#This Row],[Finish Var]])&gt;0,Tasks[[#This Row],[Status]]="Late Start")),MAX(0,Tasks[[#This Row],[Finish Var]])+1-Tasks[[#This Row],[_Row]]/1000000,"")</f>
        <v/>
      </c>
      <c r="GF96" s="42" t="str">
        <f aca="false">IF(AND(Tasks[[#This Row],[_IsLeaf]]=1,N(Tasks[[#This Row],[Actual Start]])=0,Tasks[[#This Row],[_ShownFcstStart]]&gt;=StatusDate,Tasks[[#This Row],[_ShownFcstStart]]&lt;=LookaheadEnd),Tasks[[#This Row],[_ShownFcstStart]]+Tasks[[#This Row],[_Row]]/100000,"")</f>
        <v/>
      </c>
      <c r="GG96" s="42" t="str">
        <f aca="false">IF(AND(Tasks[[#This Row],[_IsLeaf]]=1,Tasks[[#This Row],[_LeafProgress]]&lt;1,Tasks[[#This Row],[_ShownFcstFinish]]&gt;=StatusDate,Tasks[[#This Row],[_ShownFcstFinish]]&lt;=LookaheadEnd),Tasks[[#This Row],[_ShownFcstFinish]]+Tasks[[#This Row],[_Row]]/100000,"")</f>
        <v/>
      </c>
      <c r="GH96" s="42" t="str">
        <f aca="false">IF(Tasks[[#This Row],[_LeafCritical]],Tasks[[#This Row],[_ShownFcstStart]]+Tasks[[#This Row],[_Row]]/100000,"")</f>
        <v/>
      </c>
      <c r="GI96" s="42" t="n">
        <f aca="false">Tasks[[#This Row],[_LeafWork]]*Tasks[[#This Row],[_LeafProgress]]</f>
        <v>0</v>
      </c>
      <c r="GJ96" s="89" t="str">
        <f aca="false">IF(AND(Tasks[[#This Row],[_IsLeaf]]=1,Tasks[[#This Row],[_LeafProgress]]&gt;=1),IF(N(Tasks[[#This Row],[Actual Finish]])&gt;0,Tasks[[#This Row],[Actual Finish]],Tasks[[#This Row],[_ShownFcstFinish]]),"")</f>
        <v/>
      </c>
      <c r="GK96" s="42" t="n">
        <f aca="false">IF(Tasks[[#This Row],[_IsLeaf]]=1,N(Tasks[[#This Row],[Story Points]]),0)</f>
        <v>0</v>
      </c>
      <c r="GL96" s="42" t="str">
        <f aca="false">""</f>
        <v/>
      </c>
      <c r="GM96" s="88" t="b">
        <f aca="false">IF(Tasks[[#This Row],[Task Name]]="",FALSE(),AND(Tasks[[#This Row],[_IsLeaf]]=1,N(Tasks[[#This Row],[_Days]])=0))</f>
        <v>0</v>
      </c>
      <c r="GN96" s="89" t="n">
        <f aca="false">IF(Tasks[[#This Row],[Task Name]]="",0,IF(AND(Tasks[[#This Row],[_IsLeaf]]=1,NOT(Tasks[[#This Row],[_IsMilestone]]),N(Tasks[[#This Row],[Progress]])&gt;0),Tasks[[#This Row],[Start]],0))</f>
        <v>0</v>
      </c>
      <c r="GO96" s="89" t="n">
        <f aca="false">IF(Tasks[[#This Row],[_DoneFrom]]=0,0,IF(Tasks[[#This Row],[Progress]]&gt;=1,Tasks[[#This Row],[Finish]],MAX(Tasks[[#This Row],[_DoneFrom]],Tasks[[#This Row],[Start]]+ROUND((Tasks[[#This Row],[Finish]]-Tasks[[#This Row],[Start]]+1)*Tasks[[#This Row],[Progress]],0)-1)))</f>
        <v>0</v>
      </c>
      <c r="GP96" s="89" t="n">
        <f aca="false">IF(Tasks[[#This Row],[Task Name]]="",0,IF(OR(NOT(Tasks[[#This Row],[_IsLeaf]]=1),Tasks[[#This Row],[_IsMilestone]],N(Tasks[[#This Row],[Progress]])&gt;=1),0,IF(Tasks[[#This Row],[_DoneTo]]&gt;0,Tasks[[#This Row],[_DoneTo]]+1,Tasks[[#This Row],[Start]])))</f>
        <v>0</v>
      </c>
      <c r="GQ96" s="89" t="n">
        <f aca="false">IF(Tasks[[#This Row],[_RemFrom]]=0,0,Tasks[[#This Row],[Finish]])</f>
        <v>0</v>
      </c>
      <c r="GR96" s="88" t="b">
        <f aca="false">IF(Tasks[[#This Row],[Task Name]]="",FALSE(),OR(NOT(BaselineSet),N(Tasks[[#This Row],[Baseline Start]])&gt;0))</f>
        <v>0</v>
      </c>
      <c r="GS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6" s="90" t="str">
        <f aca="false">IF(Tasks[[#This Row],[_IsLeaf]]=1,Tasks[[#This Row],[_Row]],"")</f>
        <v/>
      </c>
      <c r="GW96" s="90" t="str">
        <f aca="false">IFERROR(INDEX(Tasks[UID],SMALL(Tasks[_PickKey],Tasks[[#This Row],[_Row]]))&amp;" "&amp;INDEX(Tasks[Task Name],SMALL(Tasks[_PickKey],Tasks[[#This Row],[_Row]])),"")</f>
        <v/>
      </c>
      <c r="GX96" s="42" t="str">
        <f aca="false">IF(Tasks[[#This Row],[Task Name]]="","",IF(Tasks[[#This Row],[_IsSummary]],NETWORKDAYS.INTL(Tasks[[#This Row],[Start]],Tasks[[#This Row],[Finish]],WorkWeek,Holidays),N(Tasks[[#This Row],[_Days]])))</f>
        <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3"/>
      <c r="U97" s="23"/>
      <c r="V97" s="83"/>
      <c r="W97" s="23"/>
      <c r="X97" s="83"/>
      <c r="Y97" s="23"/>
      <c r="Z97" s="83"/>
      <c r="AA97" s="23"/>
      <c r="AB97" s="23"/>
      <c r="AC97" s="7"/>
      <c r="AD97" s="7"/>
      <c r="AE97" s="62" t="str">
        <f aca="false">IF(Tasks[[#This Row],[Task Name]]="","",IF(Tasks[[#This Row],[_IsSummary]],MIN(INDEX(Tasks[_ShownFcstStart],Tasks[[#This Row],[_Row]]+1):INDEX(Tasks[_ShownFcstStart],Tasks[[#This Row],[_Row]]+Tasks[[#This Row],[_Descendants]])),Tasks[[#This Row],[_ShownFcstStart]]))</f>
        <v/>
      </c>
      <c r="AF97" s="62"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7" s="7"/>
      <c r="AK97" s="22"/>
      <c r="AL97" s="23"/>
      <c r="AM97" s="7"/>
      <c r="AN97" s="46"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2" t="str">
        <f aca="false">IF(Tasks[[#This Row],[Task Name]]="","",IF(N(Tasks[[#This Row],[Baseline Start]])&gt;0,Tasks[[#This Row],[Baseline Start]],Tasks[[#This Row],[_CalcStart]]))</f>
        <v/>
      </c>
      <c r="AR97" s="62" t="str">
        <f aca="false">IF(Tasks[[#This Row],[Task Name]]="","",IF(N(Tasks[[#This Row],[Baseline Finish]])&gt;0,Tasks[[#This Row],[Baseline Finish]],Tasks[[#This Row],[_CalcFinish]]))</f>
        <v/>
      </c>
      <c r="AS97" s="46" t="str">
        <f aca="false">IF(Tasks[[#This Row],[Task Name]]="","",IF(Tasks[[#This Row],[Start]]&gt;=Tasks[[#This Row],[Planned Start]],NETWORKDAYS.INTL(Tasks[[#This Row],[Planned Start]],Tasks[[#This Row],[Start]],WorkWeek,Holidays)-1,1-NETWORKDAYS.INTL(Tasks[[#This Row],[Start]],Tasks[[#This Row],[Planned Start]],WorkWeek,Holidays)))</f>
        <v/>
      </c>
      <c r="AT97" s="62" t="str">
        <f aca="false">IF(Tasks[[#This Row],[Task Name]]="","",IF(Tasks[[#This Row],[_IsSummary]],MIN(INDEX(Tasks[_LeafLateStart],Tasks[[#This Row],[_Row]]+1):INDEX(Tasks[_LeafLateStart],Tasks[[#This Row],[_Row]]+Tasks[[#This Row],[_Descendants]])),Tasks[[#This Row],[_LeafLateStart]]))</f>
        <v/>
      </c>
      <c r="AU97" s="62" t="str">
        <f aca="false">IF(Tasks[[#This Row],[Task Name]]="","",IF(Tasks[[#This Row],[_IsSummary]],MAX(INDEX(Tasks[_LeafLateFinish],Tasks[[#This Row],[_Row]]+1):INDEX(Tasks[_LeafLateFinish],Tasks[[#This Row],[_Row]]+Tasks[[#This Row],[_Descendants]])),Tasks[[#This Row],[_LeafLateFinish]]))</f>
        <v/>
      </c>
      <c r="AV97" s="46"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4"/>
      <c r="BA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5"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6"/>
      <c r="BJ97" s="22"/>
      <c r="BK97" s="46" t="str">
        <f aca="false">IF(OR(Tasks[[#This Row],[Task Name]]="",Tasks[[#This Row],[Baseline Duration]]=""),"",Tasks[[#This Row],[_SpanDays]]-N(Tasks[[#This Row],[Baseline Duration]]))</f>
        <v/>
      </c>
      <c r="BL97" s="85" t="str">
        <f aca="false">IF(OR(Tasks[[#This Row],[Task Name]]="",Tasks[[#This Row],[Baseline Work]]=""),"",Tasks[[#This Row],[Work]]-N(Tasks[[#This Row],[Baseline Work]]))</f>
        <v/>
      </c>
      <c r="BM97" s="62" t="str">
        <f aca="false">IF(Tasks[[#This Row],[Task Name]]="","",IF(OR(TakeBaseline="Yes",N(Tasks[[#This Row],[Baseline Start]])=0),Tasks[[#This Row],[Start]],Tasks[[#This Row],[Baseline Start]]))</f>
        <v/>
      </c>
      <c r="BN97" s="62"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5" t="str">
        <f aca="false">IF(Tasks[[#This Row],[Task Name]]="","",IF(OR(TakeBaseline="Yes",N(Tasks[[#This Row],[Baseline Work]])=0),Tasks[[#This Row],[Work]],Tasks[[#This Row],[Baseline Work]]))</f>
        <v/>
      </c>
      <c r="BQ97" s="7"/>
      <c r="BR97" s="7"/>
      <c r="BS97" s="22"/>
      <c r="BT97" s="87"/>
      <c r="BU97" s="42" t="str">
        <f aca="false">IF(Tasks[[#This Row],[Task Name]]="","",MAX(1,N(Tasks[[#This Row],[Level]])))</f>
        <v/>
      </c>
      <c r="BV97" s="42" t="n">
        <f aca="false">ROW()-ROW(Tasks[[#Headers],[ID]])</f>
        <v>92</v>
      </c>
      <c r="BW97" s="42" t="n">
        <f aca="false">IF(OR(Tasks[[#This Row],[Task Name]]="",Tasks[[#This Row],[_Level]]&lt;=1),0,IFERROR(LOOKUP(2,1/(Tasks[[#Headers],[_Level]]:Tasks[[#This Row],[_Level]]=Tasks[[#This Row],[_Level]]-1),ROW(Tasks[[#Headers],[_Level]]:Tasks[[#This Row],[_Level]])),0))</f>
        <v>0</v>
      </c>
      <c r="BX97" s="42" t="n">
        <f aca="false">IFERROR(N(INDEX(Tasks[_Level],Tasks[[#This Row],[_Row]]+1)),0)</f>
        <v>0</v>
      </c>
      <c r="BY97" s="88" t="b">
        <f aca="false">AND(Tasks[[#This Row],[Task Name]]&lt;&gt;"",Tasks[[#This Row],[_NextLevel]]&gt;Tasks[[#This Row],[_Level]])</f>
        <v>0</v>
      </c>
      <c r="BZ97" s="42" t="n">
        <f aca="false">IF(Tasks[[#This Row],[_IsSummary]],COUNTIF(Tasks[WBS],Tasks[[#This Row],[WBS]]&amp;".*"),0)</f>
        <v>0</v>
      </c>
      <c r="CA97" s="42" t="n">
        <f aca="false">IF(AND(Tasks[[#This Row],[Task Name]]&lt;&gt;"",NOT(Tasks[[#This Row],[_IsSummary]])),1,0)</f>
        <v>0</v>
      </c>
      <c r="CB97" s="42" t="n">
        <f aca="false">IF(N(Tasks[[#This Row],[_Pred1UID]])=0,0,IFERROR(MATCH(Tasks[[#This Row],[_Pred1UID]],Tasks[UID],0),-1))</f>
        <v>0</v>
      </c>
      <c r="CC97" s="42" t="n">
        <f aca="false">IF(N(Tasks[[#This Row],[_Pred2UID]])=0,0,IFERROR(MATCH(Tasks[[#This Row],[_Pred2UID]],Tasks[UID],0),-1))</f>
        <v>0</v>
      </c>
      <c r="CD97" s="42" t="n">
        <f aca="false">IF(N(Tasks[[#This Row],[_Pred3UID]])=0,0,IFERROR(MATCH(Tasks[[#This Row],[_Pred3UID]],Tasks[UID],0),-1))</f>
        <v>0</v>
      </c>
      <c r="CE97" s="42" t="n">
        <f aca="false">IF(N(Tasks[[#This Row],[_Pred4UID]])=0,0,IFERROR(MATCH(Tasks[[#This Row],[_Pred4UID]],Tasks[UID],0),-1))</f>
        <v>0</v>
      </c>
      <c r="CF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7" s="89" t="n">
        <f aca="false">IF(OR(Tasks[[#This Row],[_ConstraintCode]]=2,Tasks[[#This Row],[_ConstraintCode]]=3,Tasks[[#This Row],[_ConstraintCode]]=4,Tasks[[#This Row],[_ConstraintCode]]=6),Tasks[[#This Row],[_ConstraintStart]],0)</f>
        <v>0</v>
      </c>
      <c r="CI97" s="89" t="n">
        <f aca="false">IF(OR(Tasks[[#This Row],[_ConstraintCode]]=2,Tasks[[#This Row],[_ConstraintCode]]=3,Tasks[[#This Row],[_ConstraintCode]]=5,Tasks[[#This Row],[_ConstraintCode]]=7),Tasks[[#This Row],[_ConstraintStart]],2958465)</f>
        <v>2958465</v>
      </c>
      <c r="CJ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7" s="89" t="str">
        <f aca="false">IF(NOT(Tasks[[#This Row],[_IsLeaf]]=1),"",IF(N(Tasks[[#This Row],[_Days]])&lt;=0,Tasks[[#This Row],[_LeafCalcStart]],WORKDAY.INTL(Tasks[[#This Row],[_LeafCalcStart]],Tasks[[#This Row],[_Days]]-1,WorkWeek,Holidays)))</f>
        <v/>
      </c>
      <c r="CL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7" s="42" t="str">
        <f aca="false">IF(Tasks[[#This Row],[_Predecessors]]="","",TRIM(MID(SUBSTITUTE(SUBSTITUTE(SUBSTITUTE(UPPER(Tasks[[#This Row],[_Predecessors]]),";",",")," ",""),",",REPT(" ",99)),1,99)))</f>
        <v/>
      </c>
      <c r="CO97" s="42" t="str">
        <f aca="false">IF(Tasks[[#This Row],[_Pred1Text]]="","",IFERROR(VALUE(LEFT(Tasks[[#This Row],[_Pred1Text]],MIN(FIND("F",Tasks[[#This Row],[_Pred1Text]]&amp;"F"),FIND("S",Tasks[[#This Row],[_Pred1Text]]&amp;"S"),FIND("+",Tasks[[#This Row],[_Pred1Text]]&amp;"+"),FIND("-",Tasks[[#This Row],[_Pred1Text]]&amp;"-"))-1)),""))</f>
        <v/>
      </c>
      <c r="CP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7" s="42" t="str">
        <f aca="false">IF(Tasks[[#This Row],[_Pred1Text]]="","",TRIM(MID(SUBSTITUTE(SUBSTITUTE(SUBSTITUTE(UPPER(Tasks[[#This Row],[_Predecessors]]),";",",")," ",""),",",REPT(" ",99)),100,99)))</f>
        <v/>
      </c>
      <c r="CS97" s="42" t="str">
        <f aca="false">IF(Tasks[[#This Row],[_Pred2Text]]="","",IFERROR(VALUE(LEFT(Tasks[[#This Row],[_Pred2Text]],MIN(FIND("F",Tasks[[#This Row],[_Pred2Text]]&amp;"F"),FIND("S",Tasks[[#This Row],[_Pred2Text]]&amp;"S"),FIND("+",Tasks[[#This Row],[_Pred2Text]]&amp;"+"),FIND("-",Tasks[[#This Row],[_Pred2Text]]&amp;"-"))-1)),""))</f>
        <v/>
      </c>
      <c r="CT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7" s="42" t="str">
        <f aca="false">IF(Tasks[[#This Row],[_Pred2Text]]="","",TRIM(MID(SUBSTITUTE(SUBSTITUTE(SUBSTITUTE(UPPER(Tasks[[#This Row],[_Predecessors]]),";",",")," ",""),",",REPT(" ",99)),199,99)))</f>
        <v/>
      </c>
      <c r="CW97" s="42" t="str">
        <f aca="false">IF(Tasks[[#This Row],[_Pred3Text]]="","",IFERROR(VALUE(LEFT(Tasks[[#This Row],[_Pred3Text]],MIN(FIND("F",Tasks[[#This Row],[_Pred3Text]]&amp;"F"),FIND("S",Tasks[[#This Row],[_Pred3Text]]&amp;"S"),FIND("+",Tasks[[#This Row],[_Pred3Text]]&amp;"+"),FIND("-",Tasks[[#This Row],[_Pred3Text]]&amp;"-"))-1)),""))</f>
        <v/>
      </c>
      <c r="CX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7" s="42" t="str">
        <f aca="false">IF(Tasks[[#This Row],[_Pred3Text]]="","",TRIM(MID(SUBSTITUTE(SUBSTITUTE(SUBSTITUTE(UPPER(Tasks[[#This Row],[_Predecessors]]),";",",")," ",""),",",REPT(" ",99)),298,99)))</f>
        <v/>
      </c>
      <c r="DA97" s="42" t="str">
        <f aca="false">IF(Tasks[[#This Row],[_Pred4Text]]="","",IFERROR(VALUE(LEFT(Tasks[[#This Row],[_Pred4Text]],MIN(FIND("F",Tasks[[#This Row],[_Pred4Text]]&amp;"F"),FIND("S",Tasks[[#This Row],[_Pred4Text]]&amp;"S"),FIND("+",Tasks[[#This Row],[_Pred4Text]]&amp;"+"),FIND("-",Tasks[[#This Row],[_Pred4Text]]&amp;"-"))-1)),""))</f>
        <v/>
      </c>
      <c r="DB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7" s="42" t="str">
        <f aca="false">IF(OR(Tasks[[#This Row],[Task Name]]="",Tasks[[#This Row],[_Resources]]=""),"",TRIM(MID(SUBSTITUTE(Tasks[[#This Row],[_Resources]],",",REPT(" ",99)),1,99)))</f>
        <v/>
      </c>
      <c r="DE97" s="42" t="str">
        <f aca="false">IF(Tasks[[#This Row],[_Res1Text]]="","",TRIM(MID(SUBSTITUTE(Tasks[[#This Row],[_Resources]],",",REPT(" ",99)),100,99)))</f>
        <v/>
      </c>
      <c r="DF97" s="42" t="str">
        <f aca="false">IF(Tasks[[#This Row],[_Res2Text]]="","",TRIM(MID(SUBSTITUTE(Tasks[[#This Row],[_Resources]],",",REPT(" ",99)),199,99)))</f>
        <v/>
      </c>
      <c r="DG97" s="42" t="str">
        <f aca="false">IF(Tasks[[#This Row],[_Res3Text]]="","",TRIM(MID(SUBSTITUTE(Tasks[[#This Row],[_Resources]],",",REPT(" ",99)),298,99)))</f>
        <v/>
      </c>
      <c r="DH97" s="42" t="n">
        <f aca="false">IF(Tasks[[#This Row],[_Res1Text]]="",0,IFERROR(MATCH(TRIM(LEFT(Tasks[[#This Row],[_Res1Text]],FIND("[",Tasks[[#This Row],[_Res1Text]]&amp;"[")-1)),res_Name,0),IFERROR(MATCH(TRIM(LEFT(Tasks[[#This Row],[_Res1Text]],FIND("[",Tasks[[#This Row],[_Res1Text]]&amp;"[")-1)),res_Initials,0),0)))</f>
        <v>0</v>
      </c>
      <c r="DI97" s="42" t="n">
        <f aca="false">IF(Tasks[[#This Row],[_Res2Text]]="",0,IFERROR(MATCH(TRIM(LEFT(Tasks[[#This Row],[_Res2Text]],FIND("[",Tasks[[#This Row],[_Res2Text]]&amp;"[")-1)),res_Name,0),IFERROR(MATCH(TRIM(LEFT(Tasks[[#This Row],[_Res2Text]],FIND("[",Tasks[[#This Row],[_Res2Text]]&amp;"[")-1)),res_Initials,0),0)))</f>
        <v>0</v>
      </c>
      <c r="DJ97" s="42" t="n">
        <f aca="false">IF(Tasks[[#This Row],[_Res3Text]]="",0,IFERROR(MATCH(TRIM(LEFT(Tasks[[#This Row],[_Res3Text]],FIND("[",Tasks[[#This Row],[_Res3Text]]&amp;"[")-1)),res_Name,0),IFERROR(MATCH(TRIM(LEFT(Tasks[[#This Row],[_Res3Text]],FIND("[",Tasks[[#This Row],[_Res3Text]]&amp;"[")-1)),res_Initials,0),0)))</f>
        <v>0</v>
      </c>
      <c r="DK97" s="42" t="n">
        <f aca="false">IF(Tasks[[#This Row],[_Res4Text]]="",0,IFERROR(MATCH(TRIM(LEFT(Tasks[[#This Row],[_Res4Text]],FIND("[",Tasks[[#This Row],[_Res4Text]]&amp;"[")-1)),res_Name,0),IFERROR(MATCH(TRIM(LEFT(Tasks[[#This Row],[_Res4Text]],FIND("[",Tasks[[#This Row],[_Res4Text]]&amp;"[")-1)),res_Initials,0),0)))</f>
        <v>0</v>
      </c>
      <c r="DL97" s="42" t="str">
        <f aca="false">IF(Tasks[[#This Row],[_Res1Text]]="","",IF(Tasks[[#This Row],[_Res1Row]]&gt;0,INDEX(res_Name,Tasks[[#This Row],[_Res1Row]]),TRIM(LEFT(Tasks[[#This Row],[_Res1Text]],FIND("[",Tasks[[#This Row],[_Res1Text]]&amp;"[")-1))))</f>
        <v/>
      </c>
      <c r="DM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7" s="42" t="n">
        <f aca="false">IF(NOT(Tasks[[#This Row],[_IsLeaf]]=1),0,(Tasks[[#This Row],[_Resource1]]&lt;&gt;"")+(Tasks[[#This Row],[_Res2]]&lt;&gt;"")+(Tasks[[#This Row],[_Res3]]&lt;&gt;"")+(Tasks[[#This Row],[_Res4]]&lt;&gt;""))</f>
        <v>0</v>
      </c>
      <c r="DO97" s="42" t="str">
        <f aca="false">IF(Tasks[[#This Row],[_Res2Text]]="","",IF(Tasks[[#This Row],[_Res2Row]]&gt;0,INDEX(res_Name,Tasks[[#This Row],[_Res2Row]]),TRIM(LEFT(Tasks[[#This Row],[_Res2Text]],FIND("[",Tasks[[#This Row],[_Res2Text]]&amp;"[")-1))))</f>
        <v/>
      </c>
      <c r="DP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7" s="42" t="n">
        <f aca="false">IF(OR(NOT(Tasks[[#This Row],[_IsLeaf]]=1),Tasks[[#This Row],[_Res2Row]]=0),0,N(Tasks[[#This Row],[_Days]])*HoursPerDay*IF(Tasks[[#This Row],[_Res2Units]]="",DefaultUnits,Tasks[[#This Row],[_Res2Units]]))</f>
        <v>0</v>
      </c>
      <c r="DR97" s="42" t="n">
        <f aca="false">IF(AND(AND(Tasks[[#This Row],[_IsLeaf]]=1,Tasks[[#This Row],[_LeafTotalWork]]&gt;0),Tasks[[#This Row],[_Res2Work]]&gt;0),Tasks[[#This Row],[_Res2Work]]/(Tasks[[#This Row],[_FinishWorkday]]-Tasks[[#This Row],[_StartWorkday]]+1),0)</f>
        <v>0</v>
      </c>
      <c r="DS97" s="42" t="n">
        <f aca="false">Tasks[[#This Row],[_Res2WorkPerWD]]*MAX(0,Tasks[[#This Row],[_StartWorkday]]-1)</f>
        <v>0</v>
      </c>
      <c r="DT97" s="42" t="n">
        <f aca="false">Tasks[[#This Row],[_Res2Work]]*Tasks[[#This Row],[_LeafProgress]]</f>
        <v>0</v>
      </c>
      <c r="DU97" s="42" t="str">
        <f aca="false">IF(Tasks[[#This Row],[_Res3Text]]="","",IF(Tasks[[#This Row],[_Res3Row]]&gt;0,INDEX(res_Name,Tasks[[#This Row],[_Res3Row]]),TRIM(LEFT(Tasks[[#This Row],[_Res3Text]],FIND("[",Tasks[[#This Row],[_Res3Text]]&amp;"[")-1))))</f>
        <v/>
      </c>
      <c r="DV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7" s="42" t="n">
        <f aca="false">IF(OR(NOT(Tasks[[#This Row],[_IsLeaf]]=1),Tasks[[#This Row],[_Res3Row]]=0),0,N(Tasks[[#This Row],[_Days]])*HoursPerDay*IF(Tasks[[#This Row],[_Res3Units]]="",DefaultUnits,Tasks[[#This Row],[_Res3Units]]))</f>
        <v>0</v>
      </c>
      <c r="DX97" s="42" t="n">
        <f aca="false">IF(AND(AND(Tasks[[#This Row],[_IsLeaf]]=1,Tasks[[#This Row],[_LeafTotalWork]]&gt;0),Tasks[[#This Row],[_Res3Work]]&gt;0),Tasks[[#This Row],[_Res3Work]]/(Tasks[[#This Row],[_FinishWorkday]]-Tasks[[#This Row],[_StartWorkday]]+1),0)</f>
        <v>0</v>
      </c>
      <c r="DY97" s="42" t="n">
        <f aca="false">Tasks[[#This Row],[_Res3WorkPerWD]]*MAX(0,Tasks[[#This Row],[_StartWorkday]]-1)</f>
        <v>0</v>
      </c>
      <c r="DZ97" s="42" t="n">
        <f aca="false">Tasks[[#This Row],[_Res3Work]]*Tasks[[#This Row],[_LeafProgress]]</f>
        <v>0</v>
      </c>
      <c r="EA97" s="42" t="str">
        <f aca="false">IF(Tasks[[#This Row],[_Res4Text]]="","",IF(Tasks[[#This Row],[_Res4Row]]&gt;0,INDEX(res_Name,Tasks[[#This Row],[_Res4Row]]),TRIM(LEFT(Tasks[[#This Row],[_Res4Text]],FIND("[",Tasks[[#This Row],[_Res4Text]]&amp;"[")-1))))</f>
        <v/>
      </c>
      <c r="EB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7" s="42" t="n">
        <f aca="false">IF(OR(NOT(Tasks[[#This Row],[_IsLeaf]]=1),Tasks[[#This Row],[_Res4Row]]=0),0,N(Tasks[[#This Row],[_Days]])*HoursPerDay*IF(Tasks[[#This Row],[_Res4Units]]="",DefaultUnits,Tasks[[#This Row],[_Res4Units]]))</f>
        <v>0</v>
      </c>
      <c r="ED97" s="42" t="n">
        <f aca="false">IF(AND(AND(Tasks[[#This Row],[_IsLeaf]]=1,Tasks[[#This Row],[_LeafTotalWork]]&gt;0),Tasks[[#This Row],[_Res4Work]]&gt;0),Tasks[[#This Row],[_Res4Work]]/(Tasks[[#This Row],[_FinishWorkday]]-Tasks[[#This Row],[_StartWorkday]]+1),0)</f>
        <v>0</v>
      </c>
      <c r="EE97" s="42" t="n">
        <f aca="false">Tasks[[#This Row],[_Res4WorkPerWD]]*MAX(0,Tasks[[#This Row],[_StartWorkday]]-1)</f>
        <v>0</v>
      </c>
      <c r="EF97" s="42" t="n">
        <f aca="false">Tasks[[#This Row],[_Res4Work]]*Tasks[[#This Row],[_LeafProgress]]</f>
        <v>0</v>
      </c>
      <c r="EG97" s="42" t="n">
        <f aca="false">IF(ISNUMBER(Tasks[[#This Row],[% Complete]]),Tasks[[#This Row],[% Complete]],IF(Tasks[[#This Row],[Stage]]="",0,IFERROR(INDEX(stg_Pct,MATCH(Tasks[[#This Row],[Stage]],stg_Name,0)),0)))</f>
        <v>0</v>
      </c>
      <c r="EH97" s="42" t="n">
        <f aca="false">IF(NOT(Tasks[[#This Row],[_IsLeaf]]=1),0,IF(N(Tasks[[#This Row],[Actual Finish]])&gt;0,1,MIN(1,Tasks[[#This Row],[_Pct]])))</f>
        <v>0</v>
      </c>
      <c r="EI97" s="42" t="n">
        <f aca="false">IF(OR(NOT(Tasks[[#This Row],[_IsLeaf]]=1),Tasks[[#This Row],[_Res1Row]]=0),0,N(Tasks[[#This Row],[_Days]])*HoursPerDay*IF(Tasks[[#This Row],[_Units1]]="",DefaultUnits,Tasks[[#This Row],[_Units1]]))</f>
        <v>0</v>
      </c>
      <c r="EJ97" s="42" t="n">
        <f aca="false">Tasks[[#This Row],[_LeafWork]]+Tasks[[#This Row],[_Res2Work]]+Tasks[[#This Row],[_Res3Work]]+Tasks[[#This Row],[_Res4Work]]</f>
        <v>0</v>
      </c>
      <c r="EK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7" s="42" t="n">
        <f aca="false">IF(NOT(Tasks[[#This Row],[_IsLeaf]]=1),0,MAX(_xlfn.MAXIFS(Tasks[_Row],Tasks[_Pred1UID],Tasks[[#This Row],[UID]]),_xlfn.MAXIFS(Tasks[_Row],Tasks[_Pred2UID],Tasks[[#This Row],[UID]]),_xlfn.MAXIFS(Tasks[_Row],Tasks[_Pred3UID],Tasks[[#This Row],[UID]]),_xlfn.MAXIFS(Tasks[_Row],Tasks[_Pred4UID],Tasks[[#This Row],[UID]])))</f>
        <v>0</v>
      </c>
      <c r="ET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7" s="89" t="str">
        <f aca="false">IF(NOT(Tasks[[#This Row],[_IsLeaf]]=1),"",IF(N(Tasks[[#This Row],[_Days]])&lt;=0,Tasks[[#This Row],[_LeafLateFinish]],WORKDAY.INTL(Tasks[[#This Row],[_LeafLateFinish]],-(Tasks[[#This Row],[_Days]]-1),WorkWeek,Holidays)))</f>
        <v/>
      </c>
      <c r="EW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7" s="88" t="b">
        <f aca="false">AND(Tasks[[#This Row],[_IsLeaf]]=1,Tasks[[#This Row],[_LeafProgress]]&lt;1,N(Tasks[[#This Row],[_LeafTotalSlack]])&lt;=CriticalSlackDays)</f>
        <v>0</v>
      </c>
      <c r="EY97" s="42" t="n">
        <f aca="false">IF(AND(Tasks[[#This Row],[_IsLeaf]]=1,Tasks[[#This Row],[_ConstraintCode]]=1,Tasks[[#This Row],[Mode]]&lt;&gt;"Manual",N(Tasks[[#This Row],[Actual Start]])=0),MAX(0,N(Tasks[[#This Row],[Free Slack]])),0)</f>
        <v>0</v>
      </c>
      <c r="EZ97" s="89" t="str">
        <f aca="false">IF(NOT(Tasks[[#This Row],[_IsLeaf]]=1),"",IF(Tasks[[#This Row],[_AlapShift]]=0,Tasks[[#This Row],[_LeafCalcStart]],WORKDAY.INTL(Tasks[[#This Row],[_LeafCalcStart]],Tasks[[#This Row],[_AlapShift]],WorkWeek,Holidays)))</f>
        <v/>
      </c>
      <c r="FA97" s="89" t="str">
        <f aca="false">IF(NOT(Tasks[[#This Row],[_IsLeaf]]=1),"",IF(Tasks[[#This Row],[_AlapShift]]=0,Tasks[[#This Row],[_LeafCalcFinish]],WORKDAY.INTL(Tasks[[#This Row],[_LeafCalcFinish]],Tasks[[#This Row],[_AlapShift]],WorkWeek,Holidays)))</f>
        <v/>
      </c>
      <c r="FB97" s="89" t="str">
        <f aca="false">IF(NOT(Tasks[[#This Row],[_IsLeaf]]=1),"",IF(Tasks[[#This Row],[_AlapShift]]=0,Tasks[[#This Row],[_LeafFcstStart]],WORKDAY.INTL(Tasks[[#This Row],[_LeafFcstStart]],Tasks[[#This Row],[_AlapShift]],WorkWeek,Holidays)))</f>
        <v/>
      </c>
      <c r="FC97" s="89" t="str">
        <f aca="false">IF(NOT(Tasks[[#This Row],[_IsLeaf]]=1),"",IF(Tasks[[#This Row],[_AlapShift]]=0,Tasks[[#This Row],[_LeafFcstFinish]],WORKDAY.INTL(Tasks[[#This Row],[_LeafFcstFinish]],Tasks[[#This Row],[_AlapShift]],WorkWeek,Holidays)))</f>
        <v/>
      </c>
      <c r="FD97" s="89" t="str">
        <f aca="false">IF(Tasks[[#This Row],[Task Name]]="","",IF(Tasks[[#This Row],[_IsSummary]],MIN(INDEX(Tasks[_ShownCalcStart],Tasks[[#This Row],[_Row]]+1):INDEX(Tasks[_ShownCalcStart],Tasks[[#This Row],[_Row]]+Tasks[[#This Row],[_Descendants]])),Tasks[[#This Row],[_ShownCalcStart]]))</f>
        <v/>
      </c>
      <c r="FE97" s="89" t="str">
        <f aca="false">IF(Tasks[[#This Row],[Task Name]]="","",IF(Tasks[[#This Row],[_IsSummary]],MAX(INDEX(Tasks[_ShownCalcFinish],Tasks[[#This Row],[_Row]]+1):INDEX(Tasks[_ShownCalcFinish],Tasks[[#This Row],[_Row]]+Tasks[[#This Row],[_Descendants]])),Tasks[[#This Row],[_ShownCalcFinish]]))</f>
        <v/>
      </c>
      <c r="FF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7" s="42" t="n">
        <f aca="false">IF(AND(Tasks[[#This Row],[_IsLeaf]]=1,Tasks[[#This Row],[_LeafTotalWork]]&gt;0),NETWORKDAYS.INTL(ProjectStart,Tasks[[#This Row],[_ShownFcstStart]],WorkWeek,Holidays),0)</f>
        <v>0</v>
      </c>
      <c r="FS97" s="42" t="n">
        <f aca="false">IF(AND(Tasks[[#This Row],[_IsLeaf]]=1,Tasks[[#This Row],[_LeafTotalWork]]&gt;0),MAX(Tasks[[#This Row],[_StartWorkday]],NETWORKDAYS.INTL(ProjectStart,Tasks[[#This Row],[_ShownFcstFinish]],WorkWeek,Holidays)),0)</f>
        <v>0</v>
      </c>
      <c r="FT97" s="42" t="n">
        <f aca="false">IF(AND(Tasks[[#This Row],[_IsLeaf]]=1,Tasks[[#This Row],[_LeafTotalWork]]&gt;0),Tasks[[#This Row],[_LeafWork]]/(Tasks[[#This Row],[_FinishWorkday]]-Tasks[[#This Row],[_StartWorkday]]+1),0)</f>
        <v>0</v>
      </c>
      <c r="FU97" s="42" t="n">
        <f aca="false">Tasks[[#This Row],[_WorkPerWorkday]]*(Tasks[[#This Row],[_StartWorkday]]-1)</f>
        <v>-0</v>
      </c>
      <c r="FV97" s="42" t="n">
        <f aca="false">IF(Tasks[[#This Row],[_IsLeaf]]=1,MAX(N(Tasks[[#This Row],[_Days]]),0.1),0)</f>
        <v>0</v>
      </c>
      <c r="FW97" s="42" t="n">
        <f aca="false">Tasks[[#This Row],[_WeightDur]]*Tasks[[#This Row],[_LeafProgress]]</f>
        <v>0</v>
      </c>
      <c r="FX97" s="42" t="n">
        <f aca="false">Tasks[[#This Row],[_WeightDur]]*Tasks[[#This Row],[_PlannedPct]]</f>
        <v>0</v>
      </c>
      <c r="FY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7" s="42" t="str">
        <f aca="false">IF(AND(Tasks[[#This Row],[_IsLeaf]]=1,N(Tasks[[#This Row],[_Days]])=0,Tasks[[#This Row],[_LeafProgress]]&lt;1),Tasks[[#This Row],[_ShownFcstFinish]]+Tasks[[#This Row],[_Row]]/100000,"")</f>
        <v/>
      </c>
      <c r="GA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7" s="42" t="str">
        <f aca="false">IF(Tasks[[#This Row],[Task Name]]="","",LEFT(Tasks[[#This Row],[WBS]],FIND(".",Tasks[[#This Row],[WBS]]&amp;".")-1))</f>
        <v/>
      </c>
      <c r="GC97" s="42" t="str">
        <f aca="false">IF(AND(Tasks[[#This Row],[Task Name]]&lt;&gt;"",Tasks[[#This Row],[_Level]]=1),Tasks[[#This Row],[_Row]],"")</f>
        <v/>
      </c>
      <c r="GD97" s="42" t="str">
        <f aca="false">IF(AND(Tasks[[#This Row],[_IsLeaf]]=1,N(Tasks[[#This Row],[_Days]])=0),Tasks[[#This Row],[Planned Finish]]+Tasks[[#This Row],[_Row]]/100000,"")</f>
        <v/>
      </c>
      <c r="GE97" s="42" t="str">
        <f aca="false">IF(AND(Tasks[[#This Row],[_IsLeaf]]=1,Tasks[[#This Row],[_LeafProgress]]&lt;1,OR(N(Tasks[[#This Row],[Finish Var]])&gt;0,Tasks[[#This Row],[Status]]="Late Start")),MAX(0,Tasks[[#This Row],[Finish Var]])+1-Tasks[[#This Row],[_Row]]/1000000,"")</f>
        <v/>
      </c>
      <c r="GF97" s="42" t="str">
        <f aca="false">IF(AND(Tasks[[#This Row],[_IsLeaf]]=1,N(Tasks[[#This Row],[Actual Start]])=0,Tasks[[#This Row],[_ShownFcstStart]]&gt;=StatusDate,Tasks[[#This Row],[_ShownFcstStart]]&lt;=LookaheadEnd),Tasks[[#This Row],[_ShownFcstStart]]+Tasks[[#This Row],[_Row]]/100000,"")</f>
        <v/>
      </c>
      <c r="GG97" s="42" t="str">
        <f aca="false">IF(AND(Tasks[[#This Row],[_IsLeaf]]=1,Tasks[[#This Row],[_LeafProgress]]&lt;1,Tasks[[#This Row],[_ShownFcstFinish]]&gt;=StatusDate,Tasks[[#This Row],[_ShownFcstFinish]]&lt;=LookaheadEnd),Tasks[[#This Row],[_ShownFcstFinish]]+Tasks[[#This Row],[_Row]]/100000,"")</f>
        <v/>
      </c>
      <c r="GH97" s="42" t="str">
        <f aca="false">IF(Tasks[[#This Row],[_LeafCritical]],Tasks[[#This Row],[_ShownFcstStart]]+Tasks[[#This Row],[_Row]]/100000,"")</f>
        <v/>
      </c>
      <c r="GI97" s="42" t="n">
        <f aca="false">Tasks[[#This Row],[_LeafWork]]*Tasks[[#This Row],[_LeafProgress]]</f>
        <v>0</v>
      </c>
      <c r="GJ97" s="89" t="str">
        <f aca="false">IF(AND(Tasks[[#This Row],[_IsLeaf]]=1,Tasks[[#This Row],[_LeafProgress]]&gt;=1),IF(N(Tasks[[#This Row],[Actual Finish]])&gt;0,Tasks[[#This Row],[Actual Finish]],Tasks[[#This Row],[_ShownFcstFinish]]),"")</f>
        <v/>
      </c>
      <c r="GK97" s="42" t="n">
        <f aca="false">IF(Tasks[[#This Row],[_IsLeaf]]=1,N(Tasks[[#This Row],[Story Points]]),0)</f>
        <v>0</v>
      </c>
      <c r="GL97" s="42" t="str">
        <f aca="false">""</f>
        <v/>
      </c>
      <c r="GM97" s="88" t="b">
        <f aca="false">IF(Tasks[[#This Row],[Task Name]]="",FALSE(),AND(Tasks[[#This Row],[_IsLeaf]]=1,N(Tasks[[#This Row],[_Days]])=0))</f>
        <v>0</v>
      </c>
      <c r="GN97" s="89" t="n">
        <f aca="false">IF(Tasks[[#This Row],[Task Name]]="",0,IF(AND(Tasks[[#This Row],[_IsLeaf]]=1,NOT(Tasks[[#This Row],[_IsMilestone]]),N(Tasks[[#This Row],[Progress]])&gt;0),Tasks[[#This Row],[Start]],0))</f>
        <v>0</v>
      </c>
      <c r="GO97" s="89" t="n">
        <f aca="false">IF(Tasks[[#This Row],[_DoneFrom]]=0,0,IF(Tasks[[#This Row],[Progress]]&gt;=1,Tasks[[#This Row],[Finish]],MAX(Tasks[[#This Row],[_DoneFrom]],Tasks[[#This Row],[Start]]+ROUND((Tasks[[#This Row],[Finish]]-Tasks[[#This Row],[Start]]+1)*Tasks[[#This Row],[Progress]],0)-1)))</f>
        <v>0</v>
      </c>
      <c r="GP97" s="89" t="n">
        <f aca="false">IF(Tasks[[#This Row],[Task Name]]="",0,IF(OR(NOT(Tasks[[#This Row],[_IsLeaf]]=1),Tasks[[#This Row],[_IsMilestone]],N(Tasks[[#This Row],[Progress]])&gt;=1),0,IF(Tasks[[#This Row],[_DoneTo]]&gt;0,Tasks[[#This Row],[_DoneTo]]+1,Tasks[[#This Row],[Start]])))</f>
        <v>0</v>
      </c>
      <c r="GQ97" s="89" t="n">
        <f aca="false">IF(Tasks[[#This Row],[_RemFrom]]=0,0,Tasks[[#This Row],[Finish]])</f>
        <v>0</v>
      </c>
      <c r="GR97" s="88" t="b">
        <f aca="false">IF(Tasks[[#This Row],[Task Name]]="",FALSE(),OR(NOT(BaselineSet),N(Tasks[[#This Row],[Baseline Start]])&gt;0))</f>
        <v>0</v>
      </c>
      <c r="GS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7" s="90" t="str">
        <f aca="false">IF(Tasks[[#This Row],[_IsLeaf]]=1,Tasks[[#This Row],[_Row]],"")</f>
        <v/>
      </c>
      <c r="GW97" s="90" t="str">
        <f aca="false">IFERROR(INDEX(Tasks[UID],SMALL(Tasks[_PickKey],Tasks[[#This Row],[_Row]]))&amp;" "&amp;INDEX(Tasks[Task Name],SMALL(Tasks[_PickKey],Tasks[[#This Row],[_Row]])),"")</f>
        <v/>
      </c>
      <c r="GX97" s="42" t="str">
        <f aca="false">IF(Tasks[[#This Row],[Task Name]]="","",IF(Tasks[[#This Row],[_IsSummary]],NETWORKDAYS.INTL(Tasks[[#This Row],[Start]],Tasks[[#This Row],[Finish]],WorkWeek,Holidays),N(Tasks[[#This Row],[_Days]])))</f>
        <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3"/>
      <c r="U98" s="23"/>
      <c r="V98" s="83"/>
      <c r="W98" s="23"/>
      <c r="X98" s="83"/>
      <c r="Y98" s="23"/>
      <c r="Z98" s="83"/>
      <c r="AA98" s="23"/>
      <c r="AB98" s="23"/>
      <c r="AC98" s="7"/>
      <c r="AD98" s="7"/>
      <c r="AE98" s="62" t="str">
        <f aca="false">IF(Tasks[[#This Row],[Task Name]]="","",IF(Tasks[[#This Row],[_IsSummary]],MIN(INDEX(Tasks[_ShownFcstStart],Tasks[[#This Row],[_Row]]+1):INDEX(Tasks[_ShownFcstStart],Tasks[[#This Row],[_Row]]+Tasks[[#This Row],[_Descendants]])),Tasks[[#This Row],[_ShownFcstStart]]))</f>
        <v/>
      </c>
      <c r="AF98" s="62"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8" s="7"/>
      <c r="AK98" s="22"/>
      <c r="AL98" s="23"/>
      <c r="AM98" s="7"/>
      <c r="AN98" s="46"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2" t="str">
        <f aca="false">IF(Tasks[[#This Row],[Task Name]]="","",IF(N(Tasks[[#This Row],[Baseline Start]])&gt;0,Tasks[[#This Row],[Baseline Start]],Tasks[[#This Row],[_CalcStart]]))</f>
        <v/>
      </c>
      <c r="AR98" s="62" t="str">
        <f aca="false">IF(Tasks[[#This Row],[Task Name]]="","",IF(N(Tasks[[#This Row],[Baseline Finish]])&gt;0,Tasks[[#This Row],[Baseline Finish]],Tasks[[#This Row],[_CalcFinish]]))</f>
        <v/>
      </c>
      <c r="AS98" s="46" t="str">
        <f aca="false">IF(Tasks[[#This Row],[Task Name]]="","",IF(Tasks[[#This Row],[Start]]&gt;=Tasks[[#This Row],[Planned Start]],NETWORKDAYS.INTL(Tasks[[#This Row],[Planned Start]],Tasks[[#This Row],[Start]],WorkWeek,Holidays)-1,1-NETWORKDAYS.INTL(Tasks[[#This Row],[Start]],Tasks[[#This Row],[Planned Start]],WorkWeek,Holidays)))</f>
        <v/>
      </c>
      <c r="AT98" s="62" t="str">
        <f aca="false">IF(Tasks[[#This Row],[Task Name]]="","",IF(Tasks[[#This Row],[_IsSummary]],MIN(INDEX(Tasks[_LeafLateStart],Tasks[[#This Row],[_Row]]+1):INDEX(Tasks[_LeafLateStart],Tasks[[#This Row],[_Row]]+Tasks[[#This Row],[_Descendants]])),Tasks[[#This Row],[_LeafLateStart]]))</f>
        <v/>
      </c>
      <c r="AU98" s="62" t="str">
        <f aca="false">IF(Tasks[[#This Row],[Task Name]]="","",IF(Tasks[[#This Row],[_IsSummary]],MAX(INDEX(Tasks[_LeafLateFinish],Tasks[[#This Row],[_Row]]+1):INDEX(Tasks[_LeafLateFinish],Tasks[[#This Row],[_Row]]+Tasks[[#This Row],[_Descendants]])),Tasks[[#This Row],[_LeafLateFinish]]))</f>
        <v/>
      </c>
      <c r="AV98" s="46"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4"/>
      <c r="BA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5"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6"/>
      <c r="BJ98" s="22"/>
      <c r="BK98" s="46" t="str">
        <f aca="false">IF(OR(Tasks[[#This Row],[Task Name]]="",Tasks[[#This Row],[Baseline Duration]]=""),"",Tasks[[#This Row],[_SpanDays]]-N(Tasks[[#This Row],[Baseline Duration]]))</f>
        <v/>
      </c>
      <c r="BL98" s="85" t="str">
        <f aca="false">IF(OR(Tasks[[#This Row],[Task Name]]="",Tasks[[#This Row],[Baseline Work]]=""),"",Tasks[[#This Row],[Work]]-N(Tasks[[#This Row],[Baseline Work]]))</f>
        <v/>
      </c>
      <c r="BM98" s="62" t="str">
        <f aca="false">IF(Tasks[[#This Row],[Task Name]]="","",IF(OR(TakeBaseline="Yes",N(Tasks[[#This Row],[Baseline Start]])=0),Tasks[[#This Row],[Start]],Tasks[[#This Row],[Baseline Start]]))</f>
        <v/>
      </c>
      <c r="BN98" s="62"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5" t="str">
        <f aca="false">IF(Tasks[[#This Row],[Task Name]]="","",IF(OR(TakeBaseline="Yes",N(Tasks[[#This Row],[Baseline Work]])=0),Tasks[[#This Row],[Work]],Tasks[[#This Row],[Baseline Work]]))</f>
        <v/>
      </c>
      <c r="BQ98" s="7"/>
      <c r="BR98" s="7"/>
      <c r="BS98" s="22"/>
      <c r="BT98" s="87"/>
      <c r="BU98" s="42" t="str">
        <f aca="false">IF(Tasks[[#This Row],[Task Name]]="","",MAX(1,N(Tasks[[#This Row],[Level]])))</f>
        <v/>
      </c>
      <c r="BV98" s="42" t="n">
        <f aca="false">ROW()-ROW(Tasks[[#Headers],[ID]])</f>
        <v>93</v>
      </c>
      <c r="BW98" s="42" t="n">
        <f aca="false">IF(OR(Tasks[[#This Row],[Task Name]]="",Tasks[[#This Row],[_Level]]&lt;=1),0,IFERROR(LOOKUP(2,1/(Tasks[[#Headers],[_Level]]:Tasks[[#This Row],[_Level]]=Tasks[[#This Row],[_Level]]-1),ROW(Tasks[[#Headers],[_Level]]:Tasks[[#This Row],[_Level]])),0))</f>
        <v>0</v>
      </c>
      <c r="BX98" s="42" t="n">
        <f aca="false">IFERROR(N(INDEX(Tasks[_Level],Tasks[[#This Row],[_Row]]+1)),0)</f>
        <v>0</v>
      </c>
      <c r="BY98" s="88" t="b">
        <f aca="false">AND(Tasks[[#This Row],[Task Name]]&lt;&gt;"",Tasks[[#This Row],[_NextLevel]]&gt;Tasks[[#This Row],[_Level]])</f>
        <v>0</v>
      </c>
      <c r="BZ98" s="42" t="n">
        <f aca="false">IF(Tasks[[#This Row],[_IsSummary]],COUNTIF(Tasks[WBS],Tasks[[#This Row],[WBS]]&amp;".*"),0)</f>
        <v>0</v>
      </c>
      <c r="CA98" s="42" t="n">
        <f aca="false">IF(AND(Tasks[[#This Row],[Task Name]]&lt;&gt;"",NOT(Tasks[[#This Row],[_IsSummary]])),1,0)</f>
        <v>0</v>
      </c>
      <c r="CB98" s="42" t="n">
        <f aca="false">IF(N(Tasks[[#This Row],[_Pred1UID]])=0,0,IFERROR(MATCH(Tasks[[#This Row],[_Pred1UID]],Tasks[UID],0),-1))</f>
        <v>0</v>
      </c>
      <c r="CC98" s="42" t="n">
        <f aca="false">IF(N(Tasks[[#This Row],[_Pred2UID]])=0,0,IFERROR(MATCH(Tasks[[#This Row],[_Pred2UID]],Tasks[UID],0),-1))</f>
        <v>0</v>
      </c>
      <c r="CD98" s="42" t="n">
        <f aca="false">IF(N(Tasks[[#This Row],[_Pred3UID]])=0,0,IFERROR(MATCH(Tasks[[#This Row],[_Pred3UID]],Tasks[UID],0),-1))</f>
        <v>0</v>
      </c>
      <c r="CE98" s="42" t="n">
        <f aca="false">IF(N(Tasks[[#This Row],[_Pred4UID]])=0,0,IFERROR(MATCH(Tasks[[#This Row],[_Pred4UID]],Tasks[UID],0),-1))</f>
        <v>0</v>
      </c>
      <c r="CF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8" s="89" t="n">
        <f aca="false">IF(OR(Tasks[[#This Row],[_ConstraintCode]]=2,Tasks[[#This Row],[_ConstraintCode]]=3,Tasks[[#This Row],[_ConstraintCode]]=4,Tasks[[#This Row],[_ConstraintCode]]=6),Tasks[[#This Row],[_ConstraintStart]],0)</f>
        <v>0</v>
      </c>
      <c r="CI98" s="89" t="n">
        <f aca="false">IF(OR(Tasks[[#This Row],[_ConstraintCode]]=2,Tasks[[#This Row],[_ConstraintCode]]=3,Tasks[[#This Row],[_ConstraintCode]]=5,Tasks[[#This Row],[_ConstraintCode]]=7),Tasks[[#This Row],[_ConstraintStart]],2958465)</f>
        <v>2958465</v>
      </c>
      <c r="CJ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8" s="89" t="str">
        <f aca="false">IF(NOT(Tasks[[#This Row],[_IsLeaf]]=1),"",IF(N(Tasks[[#This Row],[_Days]])&lt;=0,Tasks[[#This Row],[_LeafCalcStart]],WORKDAY.INTL(Tasks[[#This Row],[_LeafCalcStart]],Tasks[[#This Row],[_Days]]-1,WorkWeek,Holidays)))</f>
        <v/>
      </c>
      <c r="CL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8" s="42" t="str">
        <f aca="false">IF(Tasks[[#This Row],[_Predecessors]]="","",TRIM(MID(SUBSTITUTE(SUBSTITUTE(SUBSTITUTE(UPPER(Tasks[[#This Row],[_Predecessors]]),";",",")," ",""),",",REPT(" ",99)),1,99)))</f>
        <v/>
      </c>
      <c r="CO98" s="42" t="str">
        <f aca="false">IF(Tasks[[#This Row],[_Pred1Text]]="","",IFERROR(VALUE(LEFT(Tasks[[#This Row],[_Pred1Text]],MIN(FIND("F",Tasks[[#This Row],[_Pred1Text]]&amp;"F"),FIND("S",Tasks[[#This Row],[_Pred1Text]]&amp;"S"),FIND("+",Tasks[[#This Row],[_Pred1Text]]&amp;"+"),FIND("-",Tasks[[#This Row],[_Pred1Text]]&amp;"-"))-1)),""))</f>
        <v/>
      </c>
      <c r="CP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8" s="42" t="str">
        <f aca="false">IF(Tasks[[#This Row],[_Pred1Text]]="","",TRIM(MID(SUBSTITUTE(SUBSTITUTE(SUBSTITUTE(UPPER(Tasks[[#This Row],[_Predecessors]]),";",",")," ",""),",",REPT(" ",99)),100,99)))</f>
        <v/>
      </c>
      <c r="CS98" s="42" t="str">
        <f aca="false">IF(Tasks[[#This Row],[_Pred2Text]]="","",IFERROR(VALUE(LEFT(Tasks[[#This Row],[_Pred2Text]],MIN(FIND("F",Tasks[[#This Row],[_Pred2Text]]&amp;"F"),FIND("S",Tasks[[#This Row],[_Pred2Text]]&amp;"S"),FIND("+",Tasks[[#This Row],[_Pred2Text]]&amp;"+"),FIND("-",Tasks[[#This Row],[_Pred2Text]]&amp;"-"))-1)),""))</f>
        <v/>
      </c>
      <c r="CT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8" s="42" t="str">
        <f aca="false">IF(Tasks[[#This Row],[_Pred2Text]]="","",TRIM(MID(SUBSTITUTE(SUBSTITUTE(SUBSTITUTE(UPPER(Tasks[[#This Row],[_Predecessors]]),";",",")," ",""),",",REPT(" ",99)),199,99)))</f>
        <v/>
      </c>
      <c r="CW98" s="42" t="str">
        <f aca="false">IF(Tasks[[#This Row],[_Pred3Text]]="","",IFERROR(VALUE(LEFT(Tasks[[#This Row],[_Pred3Text]],MIN(FIND("F",Tasks[[#This Row],[_Pred3Text]]&amp;"F"),FIND("S",Tasks[[#This Row],[_Pred3Text]]&amp;"S"),FIND("+",Tasks[[#This Row],[_Pred3Text]]&amp;"+"),FIND("-",Tasks[[#This Row],[_Pred3Text]]&amp;"-"))-1)),""))</f>
        <v/>
      </c>
      <c r="CX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8" s="42" t="str">
        <f aca="false">IF(Tasks[[#This Row],[_Pred3Text]]="","",TRIM(MID(SUBSTITUTE(SUBSTITUTE(SUBSTITUTE(UPPER(Tasks[[#This Row],[_Predecessors]]),";",",")," ",""),",",REPT(" ",99)),298,99)))</f>
        <v/>
      </c>
      <c r="DA98" s="42" t="str">
        <f aca="false">IF(Tasks[[#This Row],[_Pred4Text]]="","",IFERROR(VALUE(LEFT(Tasks[[#This Row],[_Pred4Text]],MIN(FIND("F",Tasks[[#This Row],[_Pred4Text]]&amp;"F"),FIND("S",Tasks[[#This Row],[_Pred4Text]]&amp;"S"),FIND("+",Tasks[[#This Row],[_Pred4Text]]&amp;"+"),FIND("-",Tasks[[#This Row],[_Pred4Text]]&amp;"-"))-1)),""))</f>
        <v/>
      </c>
      <c r="DB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8" s="42" t="str">
        <f aca="false">IF(OR(Tasks[[#This Row],[Task Name]]="",Tasks[[#This Row],[_Resources]]=""),"",TRIM(MID(SUBSTITUTE(Tasks[[#This Row],[_Resources]],",",REPT(" ",99)),1,99)))</f>
        <v/>
      </c>
      <c r="DE98" s="42" t="str">
        <f aca="false">IF(Tasks[[#This Row],[_Res1Text]]="","",TRIM(MID(SUBSTITUTE(Tasks[[#This Row],[_Resources]],",",REPT(" ",99)),100,99)))</f>
        <v/>
      </c>
      <c r="DF98" s="42" t="str">
        <f aca="false">IF(Tasks[[#This Row],[_Res2Text]]="","",TRIM(MID(SUBSTITUTE(Tasks[[#This Row],[_Resources]],",",REPT(" ",99)),199,99)))</f>
        <v/>
      </c>
      <c r="DG98" s="42" t="str">
        <f aca="false">IF(Tasks[[#This Row],[_Res3Text]]="","",TRIM(MID(SUBSTITUTE(Tasks[[#This Row],[_Resources]],",",REPT(" ",99)),298,99)))</f>
        <v/>
      </c>
      <c r="DH98" s="42" t="n">
        <f aca="false">IF(Tasks[[#This Row],[_Res1Text]]="",0,IFERROR(MATCH(TRIM(LEFT(Tasks[[#This Row],[_Res1Text]],FIND("[",Tasks[[#This Row],[_Res1Text]]&amp;"[")-1)),res_Name,0),IFERROR(MATCH(TRIM(LEFT(Tasks[[#This Row],[_Res1Text]],FIND("[",Tasks[[#This Row],[_Res1Text]]&amp;"[")-1)),res_Initials,0),0)))</f>
        <v>0</v>
      </c>
      <c r="DI98" s="42" t="n">
        <f aca="false">IF(Tasks[[#This Row],[_Res2Text]]="",0,IFERROR(MATCH(TRIM(LEFT(Tasks[[#This Row],[_Res2Text]],FIND("[",Tasks[[#This Row],[_Res2Text]]&amp;"[")-1)),res_Name,0),IFERROR(MATCH(TRIM(LEFT(Tasks[[#This Row],[_Res2Text]],FIND("[",Tasks[[#This Row],[_Res2Text]]&amp;"[")-1)),res_Initials,0),0)))</f>
        <v>0</v>
      </c>
      <c r="DJ98" s="42" t="n">
        <f aca="false">IF(Tasks[[#This Row],[_Res3Text]]="",0,IFERROR(MATCH(TRIM(LEFT(Tasks[[#This Row],[_Res3Text]],FIND("[",Tasks[[#This Row],[_Res3Text]]&amp;"[")-1)),res_Name,0),IFERROR(MATCH(TRIM(LEFT(Tasks[[#This Row],[_Res3Text]],FIND("[",Tasks[[#This Row],[_Res3Text]]&amp;"[")-1)),res_Initials,0),0)))</f>
        <v>0</v>
      </c>
      <c r="DK98" s="42" t="n">
        <f aca="false">IF(Tasks[[#This Row],[_Res4Text]]="",0,IFERROR(MATCH(TRIM(LEFT(Tasks[[#This Row],[_Res4Text]],FIND("[",Tasks[[#This Row],[_Res4Text]]&amp;"[")-1)),res_Name,0),IFERROR(MATCH(TRIM(LEFT(Tasks[[#This Row],[_Res4Text]],FIND("[",Tasks[[#This Row],[_Res4Text]]&amp;"[")-1)),res_Initials,0),0)))</f>
        <v>0</v>
      </c>
      <c r="DL98" s="42" t="str">
        <f aca="false">IF(Tasks[[#This Row],[_Res1Text]]="","",IF(Tasks[[#This Row],[_Res1Row]]&gt;0,INDEX(res_Name,Tasks[[#This Row],[_Res1Row]]),TRIM(LEFT(Tasks[[#This Row],[_Res1Text]],FIND("[",Tasks[[#This Row],[_Res1Text]]&amp;"[")-1))))</f>
        <v/>
      </c>
      <c r="DM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8" s="42" t="n">
        <f aca="false">IF(NOT(Tasks[[#This Row],[_IsLeaf]]=1),0,(Tasks[[#This Row],[_Resource1]]&lt;&gt;"")+(Tasks[[#This Row],[_Res2]]&lt;&gt;"")+(Tasks[[#This Row],[_Res3]]&lt;&gt;"")+(Tasks[[#This Row],[_Res4]]&lt;&gt;""))</f>
        <v>0</v>
      </c>
      <c r="DO98" s="42" t="str">
        <f aca="false">IF(Tasks[[#This Row],[_Res2Text]]="","",IF(Tasks[[#This Row],[_Res2Row]]&gt;0,INDEX(res_Name,Tasks[[#This Row],[_Res2Row]]),TRIM(LEFT(Tasks[[#This Row],[_Res2Text]],FIND("[",Tasks[[#This Row],[_Res2Text]]&amp;"[")-1))))</f>
        <v/>
      </c>
      <c r="DP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8" s="42" t="n">
        <f aca="false">IF(OR(NOT(Tasks[[#This Row],[_IsLeaf]]=1),Tasks[[#This Row],[_Res2Row]]=0),0,N(Tasks[[#This Row],[_Days]])*HoursPerDay*IF(Tasks[[#This Row],[_Res2Units]]="",DefaultUnits,Tasks[[#This Row],[_Res2Units]]))</f>
        <v>0</v>
      </c>
      <c r="DR98" s="42" t="n">
        <f aca="false">IF(AND(AND(Tasks[[#This Row],[_IsLeaf]]=1,Tasks[[#This Row],[_LeafTotalWork]]&gt;0),Tasks[[#This Row],[_Res2Work]]&gt;0),Tasks[[#This Row],[_Res2Work]]/(Tasks[[#This Row],[_FinishWorkday]]-Tasks[[#This Row],[_StartWorkday]]+1),0)</f>
        <v>0</v>
      </c>
      <c r="DS98" s="42" t="n">
        <f aca="false">Tasks[[#This Row],[_Res2WorkPerWD]]*MAX(0,Tasks[[#This Row],[_StartWorkday]]-1)</f>
        <v>0</v>
      </c>
      <c r="DT98" s="42" t="n">
        <f aca="false">Tasks[[#This Row],[_Res2Work]]*Tasks[[#This Row],[_LeafProgress]]</f>
        <v>0</v>
      </c>
      <c r="DU98" s="42" t="str">
        <f aca="false">IF(Tasks[[#This Row],[_Res3Text]]="","",IF(Tasks[[#This Row],[_Res3Row]]&gt;0,INDEX(res_Name,Tasks[[#This Row],[_Res3Row]]),TRIM(LEFT(Tasks[[#This Row],[_Res3Text]],FIND("[",Tasks[[#This Row],[_Res3Text]]&amp;"[")-1))))</f>
        <v/>
      </c>
      <c r="DV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8" s="42" t="n">
        <f aca="false">IF(OR(NOT(Tasks[[#This Row],[_IsLeaf]]=1),Tasks[[#This Row],[_Res3Row]]=0),0,N(Tasks[[#This Row],[_Days]])*HoursPerDay*IF(Tasks[[#This Row],[_Res3Units]]="",DefaultUnits,Tasks[[#This Row],[_Res3Units]]))</f>
        <v>0</v>
      </c>
      <c r="DX98" s="42" t="n">
        <f aca="false">IF(AND(AND(Tasks[[#This Row],[_IsLeaf]]=1,Tasks[[#This Row],[_LeafTotalWork]]&gt;0),Tasks[[#This Row],[_Res3Work]]&gt;0),Tasks[[#This Row],[_Res3Work]]/(Tasks[[#This Row],[_FinishWorkday]]-Tasks[[#This Row],[_StartWorkday]]+1),0)</f>
        <v>0</v>
      </c>
      <c r="DY98" s="42" t="n">
        <f aca="false">Tasks[[#This Row],[_Res3WorkPerWD]]*MAX(0,Tasks[[#This Row],[_StartWorkday]]-1)</f>
        <v>0</v>
      </c>
      <c r="DZ98" s="42" t="n">
        <f aca="false">Tasks[[#This Row],[_Res3Work]]*Tasks[[#This Row],[_LeafProgress]]</f>
        <v>0</v>
      </c>
      <c r="EA98" s="42" t="str">
        <f aca="false">IF(Tasks[[#This Row],[_Res4Text]]="","",IF(Tasks[[#This Row],[_Res4Row]]&gt;0,INDEX(res_Name,Tasks[[#This Row],[_Res4Row]]),TRIM(LEFT(Tasks[[#This Row],[_Res4Text]],FIND("[",Tasks[[#This Row],[_Res4Text]]&amp;"[")-1))))</f>
        <v/>
      </c>
      <c r="EB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8" s="42" t="n">
        <f aca="false">IF(OR(NOT(Tasks[[#This Row],[_IsLeaf]]=1),Tasks[[#This Row],[_Res4Row]]=0),0,N(Tasks[[#This Row],[_Days]])*HoursPerDay*IF(Tasks[[#This Row],[_Res4Units]]="",DefaultUnits,Tasks[[#This Row],[_Res4Units]]))</f>
        <v>0</v>
      </c>
      <c r="ED98" s="42" t="n">
        <f aca="false">IF(AND(AND(Tasks[[#This Row],[_IsLeaf]]=1,Tasks[[#This Row],[_LeafTotalWork]]&gt;0),Tasks[[#This Row],[_Res4Work]]&gt;0),Tasks[[#This Row],[_Res4Work]]/(Tasks[[#This Row],[_FinishWorkday]]-Tasks[[#This Row],[_StartWorkday]]+1),0)</f>
        <v>0</v>
      </c>
      <c r="EE98" s="42" t="n">
        <f aca="false">Tasks[[#This Row],[_Res4WorkPerWD]]*MAX(0,Tasks[[#This Row],[_StartWorkday]]-1)</f>
        <v>0</v>
      </c>
      <c r="EF98" s="42" t="n">
        <f aca="false">Tasks[[#This Row],[_Res4Work]]*Tasks[[#This Row],[_LeafProgress]]</f>
        <v>0</v>
      </c>
      <c r="EG98" s="42" t="n">
        <f aca="false">IF(ISNUMBER(Tasks[[#This Row],[% Complete]]),Tasks[[#This Row],[% Complete]],IF(Tasks[[#This Row],[Stage]]="",0,IFERROR(INDEX(stg_Pct,MATCH(Tasks[[#This Row],[Stage]],stg_Name,0)),0)))</f>
        <v>0</v>
      </c>
      <c r="EH98" s="42" t="n">
        <f aca="false">IF(NOT(Tasks[[#This Row],[_IsLeaf]]=1),0,IF(N(Tasks[[#This Row],[Actual Finish]])&gt;0,1,MIN(1,Tasks[[#This Row],[_Pct]])))</f>
        <v>0</v>
      </c>
      <c r="EI98" s="42" t="n">
        <f aca="false">IF(OR(NOT(Tasks[[#This Row],[_IsLeaf]]=1),Tasks[[#This Row],[_Res1Row]]=0),0,N(Tasks[[#This Row],[_Days]])*HoursPerDay*IF(Tasks[[#This Row],[_Units1]]="",DefaultUnits,Tasks[[#This Row],[_Units1]]))</f>
        <v>0</v>
      </c>
      <c r="EJ98" s="42" t="n">
        <f aca="false">Tasks[[#This Row],[_LeafWork]]+Tasks[[#This Row],[_Res2Work]]+Tasks[[#This Row],[_Res3Work]]+Tasks[[#This Row],[_Res4Work]]</f>
        <v>0</v>
      </c>
      <c r="EK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8" s="42" t="n">
        <f aca="false">IF(NOT(Tasks[[#This Row],[_IsLeaf]]=1),0,MAX(_xlfn.MAXIFS(Tasks[_Row],Tasks[_Pred1UID],Tasks[[#This Row],[UID]]),_xlfn.MAXIFS(Tasks[_Row],Tasks[_Pred2UID],Tasks[[#This Row],[UID]]),_xlfn.MAXIFS(Tasks[_Row],Tasks[_Pred3UID],Tasks[[#This Row],[UID]]),_xlfn.MAXIFS(Tasks[_Row],Tasks[_Pred4UID],Tasks[[#This Row],[UID]])))</f>
        <v>0</v>
      </c>
      <c r="ET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8" s="89" t="str">
        <f aca="false">IF(NOT(Tasks[[#This Row],[_IsLeaf]]=1),"",IF(N(Tasks[[#This Row],[_Days]])&lt;=0,Tasks[[#This Row],[_LeafLateFinish]],WORKDAY.INTL(Tasks[[#This Row],[_LeafLateFinish]],-(Tasks[[#This Row],[_Days]]-1),WorkWeek,Holidays)))</f>
        <v/>
      </c>
      <c r="EW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8" s="88" t="b">
        <f aca="false">AND(Tasks[[#This Row],[_IsLeaf]]=1,Tasks[[#This Row],[_LeafProgress]]&lt;1,N(Tasks[[#This Row],[_LeafTotalSlack]])&lt;=CriticalSlackDays)</f>
        <v>0</v>
      </c>
      <c r="EY98" s="42" t="n">
        <f aca="false">IF(AND(Tasks[[#This Row],[_IsLeaf]]=1,Tasks[[#This Row],[_ConstraintCode]]=1,Tasks[[#This Row],[Mode]]&lt;&gt;"Manual",N(Tasks[[#This Row],[Actual Start]])=0),MAX(0,N(Tasks[[#This Row],[Free Slack]])),0)</f>
        <v>0</v>
      </c>
      <c r="EZ98" s="89" t="str">
        <f aca="false">IF(NOT(Tasks[[#This Row],[_IsLeaf]]=1),"",IF(Tasks[[#This Row],[_AlapShift]]=0,Tasks[[#This Row],[_LeafCalcStart]],WORKDAY.INTL(Tasks[[#This Row],[_LeafCalcStart]],Tasks[[#This Row],[_AlapShift]],WorkWeek,Holidays)))</f>
        <v/>
      </c>
      <c r="FA98" s="89" t="str">
        <f aca="false">IF(NOT(Tasks[[#This Row],[_IsLeaf]]=1),"",IF(Tasks[[#This Row],[_AlapShift]]=0,Tasks[[#This Row],[_LeafCalcFinish]],WORKDAY.INTL(Tasks[[#This Row],[_LeafCalcFinish]],Tasks[[#This Row],[_AlapShift]],WorkWeek,Holidays)))</f>
        <v/>
      </c>
      <c r="FB98" s="89" t="str">
        <f aca="false">IF(NOT(Tasks[[#This Row],[_IsLeaf]]=1),"",IF(Tasks[[#This Row],[_AlapShift]]=0,Tasks[[#This Row],[_LeafFcstStart]],WORKDAY.INTL(Tasks[[#This Row],[_LeafFcstStart]],Tasks[[#This Row],[_AlapShift]],WorkWeek,Holidays)))</f>
        <v/>
      </c>
      <c r="FC98" s="89" t="str">
        <f aca="false">IF(NOT(Tasks[[#This Row],[_IsLeaf]]=1),"",IF(Tasks[[#This Row],[_AlapShift]]=0,Tasks[[#This Row],[_LeafFcstFinish]],WORKDAY.INTL(Tasks[[#This Row],[_LeafFcstFinish]],Tasks[[#This Row],[_AlapShift]],WorkWeek,Holidays)))</f>
        <v/>
      </c>
      <c r="FD98" s="89" t="str">
        <f aca="false">IF(Tasks[[#This Row],[Task Name]]="","",IF(Tasks[[#This Row],[_IsSummary]],MIN(INDEX(Tasks[_ShownCalcStart],Tasks[[#This Row],[_Row]]+1):INDEX(Tasks[_ShownCalcStart],Tasks[[#This Row],[_Row]]+Tasks[[#This Row],[_Descendants]])),Tasks[[#This Row],[_ShownCalcStart]]))</f>
        <v/>
      </c>
      <c r="FE98" s="89" t="str">
        <f aca="false">IF(Tasks[[#This Row],[Task Name]]="","",IF(Tasks[[#This Row],[_IsSummary]],MAX(INDEX(Tasks[_ShownCalcFinish],Tasks[[#This Row],[_Row]]+1):INDEX(Tasks[_ShownCalcFinish],Tasks[[#This Row],[_Row]]+Tasks[[#This Row],[_Descendants]])),Tasks[[#This Row],[_ShownCalcFinish]]))</f>
        <v/>
      </c>
      <c r="FF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8" s="42" t="n">
        <f aca="false">IF(AND(Tasks[[#This Row],[_IsLeaf]]=1,Tasks[[#This Row],[_LeafTotalWork]]&gt;0),NETWORKDAYS.INTL(ProjectStart,Tasks[[#This Row],[_ShownFcstStart]],WorkWeek,Holidays),0)</f>
        <v>0</v>
      </c>
      <c r="FS98" s="42" t="n">
        <f aca="false">IF(AND(Tasks[[#This Row],[_IsLeaf]]=1,Tasks[[#This Row],[_LeafTotalWork]]&gt;0),MAX(Tasks[[#This Row],[_StartWorkday]],NETWORKDAYS.INTL(ProjectStart,Tasks[[#This Row],[_ShownFcstFinish]],WorkWeek,Holidays)),0)</f>
        <v>0</v>
      </c>
      <c r="FT98" s="42" t="n">
        <f aca="false">IF(AND(Tasks[[#This Row],[_IsLeaf]]=1,Tasks[[#This Row],[_LeafTotalWork]]&gt;0),Tasks[[#This Row],[_LeafWork]]/(Tasks[[#This Row],[_FinishWorkday]]-Tasks[[#This Row],[_StartWorkday]]+1),0)</f>
        <v>0</v>
      </c>
      <c r="FU98" s="42" t="n">
        <f aca="false">Tasks[[#This Row],[_WorkPerWorkday]]*(Tasks[[#This Row],[_StartWorkday]]-1)</f>
        <v>-0</v>
      </c>
      <c r="FV98" s="42" t="n">
        <f aca="false">IF(Tasks[[#This Row],[_IsLeaf]]=1,MAX(N(Tasks[[#This Row],[_Days]]),0.1),0)</f>
        <v>0</v>
      </c>
      <c r="FW98" s="42" t="n">
        <f aca="false">Tasks[[#This Row],[_WeightDur]]*Tasks[[#This Row],[_LeafProgress]]</f>
        <v>0</v>
      </c>
      <c r="FX98" s="42" t="n">
        <f aca="false">Tasks[[#This Row],[_WeightDur]]*Tasks[[#This Row],[_PlannedPct]]</f>
        <v>0</v>
      </c>
      <c r="FY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8" s="42" t="str">
        <f aca="false">IF(AND(Tasks[[#This Row],[_IsLeaf]]=1,N(Tasks[[#This Row],[_Days]])=0,Tasks[[#This Row],[_LeafProgress]]&lt;1),Tasks[[#This Row],[_ShownFcstFinish]]+Tasks[[#This Row],[_Row]]/100000,"")</f>
        <v/>
      </c>
      <c r="GA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8" s="42" t="str">
        <f aca="false">IF(Tasks[[#This Row],[Task Name]]="","",LEFT(Tasks[[#This Row],[WBS]],FIND(".",Tasks[[#This Row],[WBS]]&amp;".")-1))</f>
        <v/>
      </c>
      <c r="GC98" s="42" t="str">
        <f aca="false">IF(AND(Tasks[[#This Row],[Task Name]]&lt;&gt;"",Tasks[[#This Row],[_Level]]=1),Tasks[[#This Row],[_Row]],"")</f>
        <v/>
      </c>
      <c r="GD98" s="42" t="str">
        <f aca="false">IF(AND(Tasks[[#This Row],[_IsLeaf]]=1,N(Tasks[[#This Row],[_Days]])=0),Tasks[[#This Row],[Planned Finish]]+Tasks[[#This Row],[_Row]]/100000,"")</f>
        <v/>
      </c>
      <c r="GE98" s="42" t="str">
        <f aca="false">IF(AND(Tasks[[#This Row],[_IsLeaf]]=1,Tasks[[#This Row],[_LeafProgress]]&lt;1,OR(N(Tasks[[#This Row],[Finish Var]])&gt;0,Tasks[[#This Row],[Status]]="Late Start")),MAX(0,Tasks[[#This Row],[Finish Var]])+1-Tasks[[#This Row],[_Row]]/1000000,"")</f>
        <v/>
      </c>
      <c r="GF98" s="42" t="str">
        <f aca="false">IF(AND(Tasks[[#This Row],[_IsLeaf]]=1,N(Tasks[[#This Row],[Actual Start]])=0,Tasks[[#This Row],[_ShownFcstStart]]&gt;=StatusDate,Tasks[[#This Row],[_ShownFcstStart]]&lt;=LookaheadEnd),Tasks[[#This Row],[_ShownFcstStart]]+Tasks[[#This Row],[_Row]]/100000,"")</f>
        <v/>
      </c>
      <c r="GG98" s="42" t="str">
        <f aca="false">IF(AND(Tasks[[#This Row],[_IsLeaf]]=1,Tasks[[#This Row],[_LeafProgress]]&lt;1,Tasks[[#This Row],[_ShownFcstFinish]]&gt;=StatusDate,Tasks[[#This Row],[_ShownFcstFinish]]&lt;=LookaheadEnd),Tasks[[#This Row],[_ShownFcstFinish]]+Tasks[[#This Row],[_Row]]/100000,"")</f>
        <v/>
      </c>
      <c r="GH98" s="42" t="str">
        <f aca="false">IF(Tasks[[#This Row],[_LeafCritical]],Tasks[[#This Row],[_ShownFcstStart]]+Tasks[[#This Row],[_Row]]/100000,"")</f>
        <v/>
      </c>
      <c r="GI98" s="42" t="n">
        <f aca="false">Tasks[[#This Row],[_LeafWork]]*Tasks[[#This Row],[_LeafProgress]]</f>
        <v>0</v>
      </c>
      <c r="GJ98" s="89" t="str">
        <f aca="false">IF(AND(Tasks[[#This Row],[_IsLeaf]]=1,Tasks[[#This Row],[_LeafProgress]]&gt;=1),IF(N(Tasks[[#This Row],[Actual Finish]])&gt;0,Tasks[[#This Row],[Actual Finish]],Tasks[[#This Row],[_ShownFcstFinish]]),"")</f>
        <v/>
      </c>
      <c r="GK98" s="42" t="n">
        <f aca="false">IF(Tasks[[#This Row],[_IsLeaf]]=1,N(Tasks[[#This Row],[Story Points]]),0)</f>
        <v>0</v>
      </c>
      <c r="GL98" s="42" t="str">
        <f aca="false">""</f>
        <v/>
      </c>
      <c r="GM98" s="88" t="b">
        <f aca="false">IF(Tasks[[#This Row],[Task Name]]="",FALSE(),AND(Tasks[[#This Row],[_IsLeaf]]=1,N(Tasks[[#This Row],[_Days]])=0))</f>
        <v>0</v>
      </c>
      <c r="GN98" s="89" t="n">
        <f aca="false">IF(Tasks[[#This Row],[Task Name]]="",0,IF(AND(Tasks[[#This Row],[_IsLeaf]]=1,NOT(Tasks[[#This Row],[_IsMilestone]]),N(Tasks[[#This Row],[Progress]])&gt;0),Tasks[[#This Row],[Start]],0))</f>
        <v>0</v>
      </c>
      <c r="GO98" s="89" t="n">
        <f aca="false">IF(Tasks[[#This Row],[_DoneFrom]]=0,0,IF(Tasks[[#This Row],[Progress]]&gt;=1,Tasks[[#This Row],[Finish]],MAX(Tasks[[#This Row],[_DoneFrom]],Tasks[[#This Row],[Start]]+ROUND((Tasks[[#This Row],[Finish]]-Tasks[[#This Row],[Start]]+1)*Tasks[[#This Row],[Progress]],0)-1)))</f>
        <v>0</v>
      </c>
      <c r="GP98" s="89" t="n">
        <f aca="false">IF(Tasks[[#This Row],[Task Name]]="",0,IF(OR(NOT(Tasks[[#This Row],[_IsLeaf]]=1),Tasks[[#This Row],[_IsMilestone]],N(Tasks[[#This Row],[Progress]])&gt;=1),0,IF(Tasks[[#This Row],[_DoneTo]]&gt;0,Tasks[[#This Row],[_DoneTo]]+1,Tasks[[#This Row],[Start]])))</f>
        <v>0</v>
      </c>
      <c r="GQ98" s="89" t="n">
        <f aca="false">IF(Tasks[[#This Row],[_RemFrom]]=0,0,Tasks[[#This Row],[Finish]])</f>
        <v>0</v>
      </c>
      <c r="GR98" s="88" t="b">
        <f aca="false">IF(Tasks[[#This Row],[Task Name]]="",FALSE(),OR(NOT(BaselineSet),N(Tasks[[#This Row],[Baseline Start]])&gt;0))</f>
        <v>0</v>
      </c>
      <c r="GS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8" s="90" t="str">
        <f aca="false">IF(Tasks[[#This Row],[_IsLeaf]]=1,Tasks[[#This Row],[_Row]],"")</f>
        <v/>
      </c>
      <c r="GW98" s="90" t="str">
        <f aca="false">IFERROR(INDEX(Tasks[UID],SMALL(Tasks[_PickKey],Tasks[[#This Row],[_Row]]))&amp;" "&amp;INDEX(Tasks[Task Name],SMALL(Tasks[_PickKey],Tasks[[#This Row],[_Row]])),"")</f>
        <v/>
      </c>
      <c r="GX98" s="42" t="str">
        <f aca="false">IF(Tasks[[#This Row],[Task Name]]="","",IF(Tasks[[#This Row],[_IsSummary]],NETWORKDAYS.INTL(Tasks[[#This Row],[Start]],Tasks[[#This Row],[Finish]],WorkWeek,Holidays),N(Tasks[[#This Row],[_Days]])))</f>
        <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3"/>
      <c r="U99" s="23"/>
      <c r="V99" s="83"/>
      <c r="W99" s="23"/>
      <c r="X99" s="83"/>
      <c r="Y99" s="23"/>
      <c r="Z99" s="83"/>
      <c r="AA99" s="23"/>
      <c r="AB99" s="23"/>
      <c r="AC99" s="7"/>
      <c r="AD99" s="7"/>
      <c r="AE99" s="62" t="str">
        <f aca="false">IF(Tasks[[#This Row],[Task Name]]="","",IF(Tasks[[#This Row],[_IsSummary]],MIN(INDEX(Tasks[_ShownFcstStart],Tasks[[#This Row],[_Row]]+1):INDEX(Tasks[_ShownFcstStart],Tasks[[#This Row],[_Row]]+Tasks[[#This Row],[_Descendants]])),Tasks[[#This Row],[_ShownFcstStart]]))</f>
        <v/>
      </c>
      <c r="AF99" s="62"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9" s="7"/>
      <c r="AK99" s="22"/>
      <c r="AL99" s="23"/>
      <c r="AM99" s="7"/>
      <c r="AN99" s="46"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2" t="str">
        <f aca="false">IF(Tasks[[#This Row],[Task Name]]="","",IF(N(Tasks[[#This Row],[Baseline Start]])&gt;0,Tasks[[#This Row],[Baseline Start]],Tasks[[#This Row],[_CalcStart]]))</f>
        <v/>
      </c>
      <c r="AR99" s="62" t="str">
        <f aca="false">IF(Tasks[[#This Row],[Task Name]]="","",IF(N(Tasks[[#This Row],[Baseline Finish]])&gt;0,Tasks[[#This Row],[Baseline Finish]],Tasks[[#This Row],[_CalcFinish]]))</f>
        <v/>
      </c>
      <c r="AS99" s="46" t="str">
        <f aca="false">IF(Tasks[[#This Row],[Task Name]]="","",IF(Tasks[[#This Row],[Start]]&gt;=Tasks[[#This Row],[Planned Start]],NETWORKDAYS.INTL(Tasks[[#This Row],[Planned Start]],Tasks[[#This Row],[Start]],WorkWeek,Holidays)-1,1-NETWORKDAYS.INTL(Tasks[[#This Row],[Start]],Tasks[[#This Row],[Planned Start]],WorkWeek,Holidays)))</f>
        <v/>
      </c>
      <c r="AT99" s="62" t="str">
        <f aca="false">IF(Tasks[[#This Row],[Task Name]]="","",IF(Tasks[[#This Row],[_IsSummary]],MIN(INDEX(Tasks[_LeafLateStart],Tasks[[#This Row],[_Row]]+1):INDEX(Tasks[_LeafLateStart],Tasks[[#This Row],[_Row]]+Tasks[[#This Row],[_Descendants]])),Tasks[[#This Row],[_LeafLateStart]]))</f>
        <v/>
      </c>
      <c r="AU99" s="62" t="str">
        <f aca="false">IF(Tasks[[#This Row],[Task Name]]="","",IF(Tasks[[#This Row],[_IsSummary]],MAX(INDEX(Tasks[_LeafLateFinish],Tasks[[#This Row],[_Row]]+1):INDEX(Tasks[_LeafLateFinish],Tasks[[#This Row],[_Row]]+Tasks[[#This Row],[_Descendants]])),Tasks[[#This Row],[_LeafLateFinish]]))</f>
        <v/>
      </c>
      <c r="AV99" s="46"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4"/>
      <c r="BA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5"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6"/>
      <c r="BJ99" s="22"/>
      <c r="BK99" s="46" t="str">
        <f aca="false">IF(OR(Tasks[[#This Row],[Task Name]]="",Tasks[[#This Row],[Baseline Duration]]=""),"",Tasks[[#This Row],[_SpanDays]]-N(Tasks[[#This Row],[Baseline Duration]]))</f>
        <v/>
      </c>
      <c r="BL99" s="85" t="str">
        <f aca="false">IF(OR(Tasks[[#This Row],[Task Name]]="",Tasks[[#This Row],[Baseline Work]]=""),"",Tasks[[#This Row],[Work]]-N(Tasks[[#This Row],[Baseline Work]]))</f>
        <v/>
      </c>
      <c r="BM99" s="62" t="str">
        <f aca="false">IF(Tasks[[#This Row],[Task Name]]="","",IF(OR(TakeBaseline="Yes",N(Tasks[[#This Row],[Baseline Start]])=0),Tasks[[#This Row],[Start]],Tasks[[#This Row],[Baseline Start]]))</f>
        <v/>
      </c>
      <c r="BN99" s="62"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5" t="str">
        <f aca="false">IF(Tasks[[#This Row],[Task Name]]="","",IF(OR(TakeBaseline="Yes",N(Tasks[[#This Row],[Baseline Work]])=0),Tasks[[#This Row],[Work]],Tasks[[#This Row],[Baseline Work]]))</f>
        <v/>
      </c>
      <c r="BQ99" s="7"/>
      <c r="BR99" s="7"/>
      <c r="BS99" s="22"/>
      <c r="BT99" s="87"/>
      <c r="BU99" s="42" t="str">
        <f aca="false">IF(Tasks[[#This Row],[Task Name]]="","",MAX(1,N(Tasks[[#This Row],[Level]])))</f>
        <v/>
      </c>
      <c r="BV99" s="42" t="n">
        <f aca="false">ROW()-ROW(Tasks[[#Headers],[ID]])</f>
        <v>94</v>
      </c>
      <c r="BW99" s="42" t="n">
        <f aca="false">IF(OR(Tasks[[#This Row],[Task Name]]="",Tasks[[#This Row],[_Level]]&lt;=1),0,IFERROR(LOOKUP(2,1/(Tasks[[#Headers],[_Level]]:Tasks[[#This Row],[_Level]]=Tasks[[#This Row],[_Level]]-1),ROW(Tasks[[#Headers],[_Level]]:Tasks[[#This Row],[_Level]])),0))</f>
        <v>0</v>
      </c>
      <c r="BX99" s="42" t="n">
        <f aca="false">IFERROR(N(INDEX(Tasks[_Level],Tasks[[#This Row],[_Row]]+1)),0)</f>
        <v>0</v>
      </c>
      <c r="BY99" s="88" t="b">
        <f aca="false">AND(Tasks[[#This Row],[Task Name]]&lt;&gt;"",Tasks[[#This Row],[_NextLevel]]&gt;Tasks[[#This Row],[_Level]])</f>
        <v>0</v>
      </c>
      <c r="BZ99" s="42" t="n">
        <f aca="false">IF(Tasks[[#This Row],[_IsSummary]],COUNTIF(Tasks[WBS],Tasks[[#This Row],[WBS]]&amp;".*"),0)</f>
        <v>0</v>
      </c>
      <c r="CA99" s="42" t="n">
        <f aca="false">IF(AND(Tasks[[#This Row],[Task Name]]&lt;&gt;"",NOT(Tasks[[#This Row],[_IsSummary]])),1,0)</f>
        <v>0</v>
      </c>
      <c r="CB99" s="42" t="n">
        <f aca="false">IF(N(Tasks[[#This Row],[_Pred1UID]])=0,0,IFERROR(MATCH(Tasks[[#This Row],[_Pred1UID]],Tasks[UID],0),-1))</f>
        <v>0</v>
      </c>
      <c r="CC99" s="42" t="n">
        <f aca="false">IF(N(Tasks[[#This Row],[_Pred2UID]])=0,0,IFERROR(MATCH(Tasks[[#This Row],[_Pred2UID]],Tasks[UID],0),-1))</f>
        <v>0</v>
      </c>
      <c r="CD99" s="42" t="n">
        <f aca="false">IF(N(Tasks[[#This Row],[_Pred3UID]])=0,0,IFERROR(MATCH(Tasks[[#This Row],[_Pred3UID]],Tasks[UID],0),-1))</f>
        <v>0</v>
      </c>
      <c r="CE99" s="42" t="n">
        <f aca="false">IF(N(Tasks[[#This Row],[_Pred4UID]])=0,0,IFERROR(MATCH(Tasks[[#This Row],[_Pred4UID]],Tasks[UID],0),-1))</f>
        <v>0</v>
      </c>
      <c r="CF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9" s="89" t="n">
        <f aca="false">IF(OR(Tasks[[#This Row],[_ConstraintCode]]=2,Tasks[[#This Row],[_ConstraintCode]]=3,Tasks[[#This Row],[_ConstraintCode]]=4,Tasks[[#This Row],[_ConstraintCode]]=6),Tasks[[#This Row],[_ConstraintStart]],0)</f>
        <v>0</v>
      </c>
      <c r="CI99" s="89" t="n">
        <f aca="false">IF(OR(Tasks[[#This Row],[_ConstraintCode]]=2,Tasks[[#This Row],[_ConstraintCode]]=3,Tasks[[#This Row],[_ConstraintCode]]=5,Tasks[[#This Row],[_ConstraintCode]]=7),Tasks[[#This Row],[_ConstraintStart]],2958465)</f>
        <v>2958465</v>
      </c>
      <c r="CJ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9" s="89" t="str">
        <f aca="false">IF(NOT(Tasks[[#This Row],[_IsLeaf]]=1),"",IF(N(Tasks[[#This Row],[_Days]])&lt;=0,Tasks[[#This Row],[_LeafCalcStart]],WORKDAY.INTL(Tasks[[#This Row],[_LeafCalcStart]],Tasks[[#This Row],[_Days]]-1,WorkWeek,Holidays)))</f>
        <v/>
      </c>
      <c r="CL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9" s="42" t="str">
        <f aca="false">IF(Tasks[[#This Row],[_Predecessors]]="","",TRIM(MID(SUBSTITUTE(SUBSTITUTE(SUBSTITUTE(UPPER(Tasks[[#This Row],[_Predecessors]]),";",",")," ",""),",",REPT(" ",99)),1,99)))</f>
        <v/>
      </c>
      <c r="CO99" s="42" t="str">
        <f aca="false">IF(Tasks[[#This Row],[_Pred1Text]]="","",IFERROR(VALUE(LEFT(Tasks[[#This Row],[_Pred1Text]],MIN(FIND("F",Tasks[[#This Row],[_Pred1Text]]&amp;"F"),FIND("S",Tasks[[#This Row],[_Pred1Text]]&amp;"S"),FIND("+",Tasks[[#This Row],[_Pred1Text]]&amp;"+"),FIND("-",Tasks[[#This Row],[_Pred1Text]]&amp;"-"))-1)),""))</f>
        <v/>
      </c>
      <c r="CP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9" s="42" t="str">
        <f aca="false">IF(Tasks[[#This Row],[_Pred1Text]]="","",TRIM(MID(SUBSTITUTE(SUBSTITUTE(SUBSTITUTE(UPPER(Tasks[[#This Row],[_Predecessors]]),";",",")," ",""),",",REPT(" ",99)),100,99)))</f>
        <v/>
      </c>
      <c r="CS99" s="42" t="str">
        <f aca="false">IF(Tasks[[#This Row],[_Pred2Text]]="","",IFERROR(VALUE(LEFT(Tasks[[#This Row],[_Pred2Text]],MIN(FIND("F",Tasks[[#This Row],[_Pred2Text]]&amp;"F"),FIND("S",Tasks[[#This Row],[_Pred2Text]]&amp;"S"),FIND("+",Tasks[[#This Row],[_Pred2Text]]&amp;"+"),FIND("-",Tasks[[#This Row],[_Pred2Text]]&amp;"-"))-1)),""))</f>
        <v/>
      </c>
      <c r="CT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9" s="42" t="str">
        <f aca="false">IF(Tasks[[#This Row],[_Pred2Text]]="","",TRIM(MID(SUBSTITUTE(SUBSTITUTE(SUBSTITUTE(UPPER(Tasks[[#This Row],[_Predecessors]]),";",",")," ",""),",",REPT(" ",99)),199,99)))</f>
        <v/>
      </c>
      <c r="CW99" s="42" t="str">
        <f aca="false">IF(Tasks[[#This Row],[_Pred3Text]]="","",IFERROR(VALUE(LEFT(Tasks[[#This Row],[_Pred3Text]],MIN(FIND("F",Tasks[[#This Row],[_Pred3Text]]&amp;"F"),FIND("S",Tasks[[#This Row],[_Pred3Text]]&amp;"S"),FIND("+",Tasks[[#This Row],[_Pred3Text]]&amp;"+"),FIND("-",Tasks[[#This Row],[_Pred3Text]]&amp;"-"))-1)),""))</f>
        <v/>
      </c>
      <c r="CX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9" s="42" t="str">
        <f aca="false">IF(Tasks[[#This Row],[_Pred3Text]]="","",TRIM(MID(SUBSTITUTE(SUBSTITUTE(SUBSTITUTE(UPPER(Tasks[[#This Row],[_Predecessors]]),";",",")," ",""),",",REPT(" ",99)),298,99)))</f>
        <v/>
      </c>
      <c r="DA99" s="42" t="str">
        <f aca="false">IF(Tasks[[#This Row],[_Pred4Text]]="","",IFERROR(VALUE(LEFT(Tasks[[#This Row],[_Pred4Text]],MIN(FIND("F",Tasks[[#This Row],[_Pred4Text]]&amp;"F"),FIND("S",Tasks[[#This Row],[_Pred4Text]]&amp;"S"),FIND("+",Tasks[[#This Row],[_Pred4Text]]&amp;"+"),FIND("-",Tasks[[#This Row],[_Pred4Text]]&amp;"-"))-1)),""))</f>
        <v/>
      </c>
      <c r="DB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9" s="42" t="str">
        <f aca="false">IF(OR(Tasks[[#This Row],[Task Name]]="",Tasks[[#This Row],[_Resources]]=""),"",TRIM(MID(SUBSTITUTE(Tasks[[#This Row],[_Resources]],",",REPT(" ",99)),1,99)))</f>
        <v/>
      </c>
      <c r="DE99" s="42" t="str">
        <f aca="false">IF(Tasks[[#This Row],[_Res1Text]]="","",TRIM(MID(SUBSTITUTE(Tasks[[#This Row],[_Resources]],",",REPT(" ",99)),100,99)))</f>
        <v/>
      </c>
      <c r="DF99" s="42" t="str">
        <f aca="false">IF(Tasks[[#This Row],[_Res2Text]]="","",TRIM(MID(SUBSTITUTE(Tasks[[#This Row],[_Resources]],",",REPT(" ",99)),199,99)))</f>
        <v/>
      </c>
      <c r="DG99" s="42" t="str">
        <f aca="false">IF(Tasks[[#This Row],[_Res3Text]]="","",TRIM(MID(SUBSTITUTE(Tasks[[#This Row],[_Resources]],",",REPT(" ",99)),298,99)))</f>
        <v/>
      </c>
      <c r="DH99" s="42" t="n">
        <f aca="false">IF(Tasks[[#This Row],[_Res1Text]]="",0,IFERROR(MATCH(TRIM(LEFT(Tasks[[#This Row],[_Res1Text]],FIND("[",Tasks[[#This Row],[_Res1Text]]&amp;"[")-1)),res_Name,0),IFERROR(MATCH(TRIM(LEFT(Tasks[[#This Row],[_Res1Text]],FIND("[",Tasks[[#This Row],[_Res1Text]]&amp;"[")-1)),res_Initials,0),0)))</f>
        <v>0</v>
      </c>
      <c r="DI99" s="42" t="n">
        <f aca="false">IF(Tasks[[#This Row],[_Res2Text]]="",0,IFERROR(MATCH(TRIM(LEFT(Tasks[[#This Row],[_Res2Text]],FIND("[",Tasks[[#This Row],[_Res2Text]]&amp;"[")-1)),res_Name,0),IFERROR(MATCH(TRIM(LEFT(Tasks[[#This Row],[_Res2Text]],FIND("[",Tasks[[#This Row],[_Res2Text]]&amp;"[")-1)),res_Initials,0),0)))</f>
        <v>0</v>
      </c>
      <c r="DJ99" s="42" t="n">
        <f aca="false">IF(Tasks[[#This Row],[_Res3Text]]="",0,IFERROR(MATCH(TRIM(LEFT(Tasks[[#This Row],[_Res3Text]],FIND("[",Tasks[[#This Row],[_Res3Text]]&amp;"[")-1)),res_Name,0),IFERROR(MATCH(TRIM(LEFT(Tasks[[#This Row],[_Res3Text]],FIND("[",Tasks[[#This Row],[_Res3Text]]&amp;"[")-1)),res_Initials,0),0)))</f>
        <v>0</v>
      </c>
      <c r="DK99" s="42" t="n">
        <f aca="false">IF(Tasks[[#This Row],[_Res4Text]]="",0,IFERROR(MATCH(TRIM(LEFT(Tasks[[#This Row],[_Res4Text]],FIND("[",Tasks[[#This Row],[_Res4Text]]&amp;"[")-1)),res_Name,0),IFERROR(MATCH(TRIM(LEFT(Tasks[[#This Row],[_Res4Text]],FIND("[",Tasks[[#This Row],[_Res4Text]]&amp;"[")-1)),res_Initials,0),0)))</f>
        <v>0</v>
      </c>
      <c r="DL99" s="42" t="str">
        <f aca="false">IF(Tasks[[#This Row],[_Res1Text]]="","",IF(Tasks[[#This Row],[_Res1Row]]&gt;0,INDEX(res_Name,Tasks[[#This Row],[_Res1Row]]),TRIM(LEFT(Tasks[[#This Row],[_Res1Text]],FIND("[",Tasks[[#This Row],[_Res1Text]]&amp;"[")-1))))</f>
        <v/>
      </c>
      <c r="DM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9" s="42" t="n">
        <f aca="false">IF(NOT(Tasks[[#This Row],[_IsLeaf]]=1),0,(Tasks[[#This Row],[_Resource1]]&lt;&gt;"")+(Tasks[[#This Row],[_Res2]]&lt;&gt;"")+(Tasks[[#This Row],[_Res3]]&lt;&gt;"")+(Tasks[[#This Row],[_Res4]]&lt;&gt;""))</f>
        <v>0</v>
      </c>
      <c r="DO99" s="42" t="str">
        <f aca="false">IF(Tasks[[#This Row],[_Res2Text]]="","",IF(Tasks[[#This Row],[_Res2Row]]&gt;0,INDEX(res_Name,Tasks[[#This Row],[_Res2Row]]),TRIM(LEFT(Tasks[[#This Row],[_Res2Text]],FIND("[",Tasks[[#This Row],[_Res2Text]]&amp;"[")-1))))</f>
        <v/>
      </c>
      <c r="DP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9" s="42" t="n">
        <f aca="false">IF(OR(NOT(Tasks[[#This Row],[_IsLeaf]]=1),Tasks[[#This Row],[_Res2Row]]=0),0,N(Tasks[[#This Row],[_Days]])*HoursPerDay*IF(Tasks[[#This Row],[_Res2Units]]="",DefaultUnits,Tasks[[#This Row],[_Res2Units]]))</f>
        <v>0</v>
      </c>
      <c r="DR99" s="42" t="n">
        <f aca="false">IF(AND(AND(Tasks[[#This Row],[_IsLeaf]]=1,Tasks[[#This Row],[_LeafTotalWork]]&gt;0),Tasks[[#This Row],[_Res2Work]]&gt;0),Tasks[[#This Row],[_Res2Work]]/(Tasks[[#This Row],[_FinishWorkday]]-Tasks[[#This Row],[_StartWorkday]]+1),0)</f>
        <v>0</v>
      </c>
      <c r="DS99" s="42" t="n">
        <f aca="false">Tasks[[#This Row],[_Res2WorkPerWD]]*MAX(0,Tasks[[#This Row],[_StartWorkday]]-1)</f>
        <v>0</v>
      </c>
      <c r="DT99" s="42" t="n">
        <f aca="false">Tasks[[#This Row],[_Res2Work]]*Tasks[[#This Row],[_LeafProgress]]</f>
        <v>0</v>
      </c>
      <c r="DU99" s="42" t="str">
        <f aca="false">IF(Tasks[[#This Row],[_Res3Text]]="","",IF(Tasks[[#This Row],[_Res3Row]]&gt;0,INDEX(res_Name,Tasks[[#This Row],[_Res3Row]]),TRIM(LEFT(Tasks[[#This Row],[_Res3Text]],FIND("[",Tasks[[#This Row],[_Res3Text]]&amp;"[")-1))))</f>
        <v/>
      </c>
      <c r="DV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9" s="42" t="n">
        <f aca="false">IF(OR(NOT(Tasks[[#This Row],[_IsLeaf]]=1),Tasks[[#This Row],[_Res3Row]]=0),0,N(Tasks[[#This Row],[_Days]])*HoursPerDay*IF(Tasks[[#This Row],[_Res3Units]]="",DefaultUnits,Tasks[[#This Row],[_Res3Units]]))</f>
        <v>0</v>
      </c>
      <c r="DX99" s="42" t="n">
        <f aca="false">IF(AND(AND(Tasks[[#This Row],[_IsLeaf]]=1,Tasks[[#This Row],[_LeafTotalWork]]&gt;0),Tasks[[#This Row],[_Res3Work]]&gt;0),Tasks[[#This Row],[_Res3Work]]/(Tasks[[#This Row],[_FinishWorkday]]-Tasks[[#This Row],[_StartWorkday]]+1),0)</f>
        <v>0</v>
      </c>
      <c r="DY99" s="42" t="n">
        <f aca="false">Tasks[[#This Row],[_Res3WorkPerWD]]*MAX(0,Tasks[[#This Row],[_StartWorkday]]-1)</f>
        <v>0</v>
      </c>
      <c r="DZ99" s="42" t="n">
        <f aca="false">Tasks[[#This Row],[_Res3Work]]*Tasks[[#This Row],[_LeafProgress]]</f>
        <v>0</v>
      </c>
      <c r="EA99" s="42" t="str">
        <f aca="false">IF(Tasks[[#This Row],[_Res4Text]]="","",IF(Tasks[[#This Row],[_Res4Row]]&gt;0,INDEX(res_Name,Tasks[[#This Row],[_Res4Row]]),TRIM(LEFT(Tasks[[#This Row],[_Res4Text]],FIND("[",Tasks[[#This Row],[_Res4Text]]&amp;"[")-1))))</f>
        <v/>
      </c>
      <c r="EB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9" s="42" t="n">
        <f aca="false">IF(OR(NOT(Tasks[[#This Row],[_IsLeaf]]=1),Tasks[[#This Row],[_Res4Row]]=0),0,N(Tasks[[#This Row],[_Days]])*HoursPerDay*IF(Tasks[[#This Row],[_Res4Units]]="",DefaultUnits,Tasks[[#This Row],[_Res4Units]]))</f>
        <v>0</v>
      </c>
      <c r="ED99" s="42" t="n">
        <f aca="false">IF(AND(AND(Tasks[[#This Row],[_IsLeaf]]=1,Tasks[[#This Row],[_LeafTotalWork]]&gt;0),Tasks[[#This Row],[_Res4Work]]&gt;0),Tasks[[#This Row],[_Res4Work]]/(Tasks[[#This Row],[_FinishWorkday]]-Tasks[[#This Row],[_StartWorkday]]+1),0)</f>
        <v>0</v>
      </c>
      <c r="EE99" s="42" t="n">
        <f aca="false">Tasks[[#This Row],[_Res4WorkPerWD]]*MAX(0,Tasks[[#This Row],[_StartWorkday]]-1)</f>
        <v>0</v>
      </c>
      <c r="EF99" s="42" t="n">
        <f aca="false">Tasks[[#This Row],[_Res4Work]]*Tasks[[#This Row],[_LeafProgress]]</f>
        <v>0</v>
      </c>
      <c r="EG99" s="42" t="n">
        <f aca="false">IF(ISNUMBER(Tasks[[#This Row],[% Complete]]),Tasks[[#This Row],[% Complete]],IF(Tasks[[#This Row],[Stage]]="",0,IFERROR(INDEX(stg_Pct,MATCH(Tasks[[#This Row],[Stage]],stg_Name,0)),0)))</f>
        <v>0</v>
      </c>
      <c r="EH99" s="42" t="n">
        <f aca="false">IF(NOT(Tasks[[#This Row],[_IsLeaf]]=1),0,IF(N(Tasks[[#This Row],[Actual Finish]])&gt;0,1,MIN(1,Tasks[[#This Row],[_Pct]])))</f>
        <v>0</v>
      </c>
      <c r="EI99" s="42" t="n">
        <f aca="false">IF(OR(NOT(Tasks[[#This Row],[_IsLeaf]]=1),Tasks[[#This Row],[_Res1Row]]=0),0,N(Tasks[[#This Row],[_Days]])*HoursPerDay*IF(Tasks[[#This Row],[_Units1]]="",DefaultUnits,Tasks[[#This Row],[_Units1]]))</f>
        <v>0</v>
      </c>
      <c r="EJ99" s="42" t="n">
        <f aca="false">Tasks[[#This Row],[_LeafWork]]+Tasks[[#This Row],[_Res2Work]]+Tasks[[#This Row],[_Res3Work]]+Tasks[[#This Row],[_Res4Work]]</f>
        <v>0</v>
      </c>
      <c r="EK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9" s="42" t="n">
        <f aca="false">IF(NOT(Tasks[[#This Row],[_IsLeaf]]=1),0,MAX(_xlfn.MAXIFS(Tasks[_Row],Tasks[_Pred1UID],Tasks[[#This Row],[UID]]),_xlfn.MAXIFS(Tasks[_Row],Tasks[_Pred2UID],Tasks[[#This Row],[UID]]),_xlfn.MAXIFS(Tasks[_Row],Tasks[_Pred3UID],Tasks[[#This Row],[UID]]),_xlfn.MAXIFS(Tasks[_Row],Tasks[_Pred4UID],Tasks[[#This Row],[UID]])))</f>
        <v>0</v>
      </c>
      <c r="ET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9" s="89" t="str">
        <f aca="false">IF(NOT(Tasks[[#This Row],[_IsLeaf]]=1),"",IF(N(Tasks[[#This Row],[_Days]])&lt;=0,Tasks[[#This Row],[_LeafLateFinish]],WORKDAY.INTL(Tasks[[#This Row],[_LeafLateFinish]],-(Tasks[[#This Row],[_Days]]-1),WorkWeek,Holidays)))</f>
        <v/>
      </c>
      <c r="EW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9" s="88" t="b">
        <f aca="false">AND(Tasks[[#This Row],[_IsLeaf]]=1,Tasks[[#This Row],[_LeafProgress]]&lt;1,N(Tasks[[#This Row],[_LeafTotalSlack]])&lt;=CriticalSlackDays)</f>
        <v>0</v>
      </c>
      <c r="EY99" s="42" t="n">
        <f aca="false">IF(AND(Tasks[[#This Row],[_IsLeaf]]=1,Tasks[[#This Row],[_ConstraintCode]]=1,Tasks[[#This Row],[Mode]]&lt;&gt;"Manual",N(Tasks[[#This Row],[Actual Start]])=0),MAX(0,N(Tasks[[#This Row],[Free Slack]])),0)</f>
        <v>0</v>
      </c>
      <c r="EZ99" s="89" t="str">
        <f aca="false">IF(NOT(Tasks[[#This Row],[_IsLeaf]]=1),"",IF(Tasks[[#This Row],[_AlapShift]]=0,Tasks[[#This Row],[_LeafCalcStart]],WORKDAY.INTL(Tasks[[#This Row],[_LeafCalcStart]],Tasks[[#This Row],[_AlapShift]],WorkWeek,Holidays)))</f>
        <v/>
      </c>
      <c r="FA99" s="89" t="str">
        <f aca="false">IF(NOT(Tasks[[#This Row],[_IsLeaf]]=1),"",IF(Tasks[[#This Row],[_AlapShift]]=0,Tasks[[#This Row],[_LeafCalcFinish]],WORKDAY.INTL(Tasks[[#This Row],[_LeafCalcFinish]],Tasks[[#This Row],[_AlapShift]],WorkWeek,Holidays)))</f>
        <v/>
      </c>
      <c r="FB99" s="89" t="str">
        <f aca="false">IF(NOT(Tasks[[#This Row],[_IsLeaf]]=1),"",IF(Tasks[[#This Row],[_AlapShift]]=0,Tasks[[#This Row],[_LeafFcstStart]],WORKDAY.INTL(Tasks[[#This Row],[_LeafFcstStart]],Tasks[[#This Row],[_AlapShift]],WorkWeek,Holidays)))</f>
        <v/>
      </c>
      <c r="FC99" s="89" t="str">
        <f aca="false">IF(NOT(Tasks[[#This Row],[_IsLeaf]]=1),"",IF(Tasks[[#This Row],[_AlapShift]]=0,Tasks[[#This Row],[_LeafFcstFinish]],WORKDAY.INTL(Tasks[[#This Row],[_LeafFcstFinish]],Tasks[[#This Row],[_AlapShift]],WorkWeek,Holidays)))</f>
        <v/>
      </c>
      <c r="FD99" s="89" t="str">
        <f aca="false">IF(Tasks[[#This Row],[Task Name]]="","",IF(Tasks[[#This Row],[_IsSummary]],MIN(INDEX(Tasks[_ShownCalcStart],Tasks[[#This Row],[_Row]]+1):INDEX(Tasks[_ShownCalcStart],Tasks[[#This Row],[_Row]]+Tasks[[#This Row],[_Descendants]])),Tasks[[#This Row],[_ShownCalcStart]]))</f>
        <v/>
      </c>
      <c r="FE99" s="89" t="str">
        <f aca="false">IF(Tasks[[#This Row],[Task Name]]="","",IF(Tasks[[#This Row],[_IsSummary]],MAX(INDEX(Tasks[_ShownCalcFinish],Tasks[[#This Row],[_Row]]+1):INDEX(Tasks[_ShownCalcFinish],Tasks[[#This Row],[_Row]]+Tasks[[#This Row],[_Descendants]])),Tasks[[#This Row],[_ShownCalcFinish]]))</f>
        <v/>
      </c>
      <c r="FF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9" s="42" t="n">
        <f aca="false">IF(AND(Tasks[[#This Row],[_IsLeaf]]=1,Tasks[[#This Row],[_LeafTotalWork]]&gt;0),NETWORKDAYS.INTL(ProjectStart,Tasks[[#This Row],[_ShownFcstStart]],WorkWeek,Holidays),0)</f>
        <v>0</v>
      </c>
      <c r="FS99" s="42" t="n">
        <f aca="false">IF(AND(Tasks[[#This Row],[_IsLeaf]]=1,Tasks[[#This Row],[_LeafTotalWork]]&gt;0),MAX(Tasks[[#This Row],[_StartWorkday]],NETWORKDAYS.INTL(ProjectStart,Tasks[[#This Row],[_ShownFcstFinish]],WorkWeek,Holidays)),0)</f>
        <v>0</v>
      </c>
      <c r="FT99" s="42" t="n">
        <f aca="false">IF(AND(Tasks[[#This Row],[_IsLeaf]]=1,Tasks[[#This Row],[_LeafTotalWork]]&gt;0),Tasks[[#This Row],[_LeafWork]]/(Tasks[[#This Row],[_FinishWorkday]]-Tasks[[#This Row],[_StartWorkday]]+1),0)</f>
        <v>0</v>
      </c>
      <c r="FU99" s="42" t="n">
        <f aca="false">Tasks[[#This Row],[_WorkPerWorkday]]*(Tasks[[#This Row],[_StartWorkday]]-1)</f>
        <v>-0</v>
      </c>
      <c r="FV99" s="42" t="n">
        <f aca="false">IF(Tasks[[#This Row],[_IsLeaf]]=1,MAX(N(Tasks[[#This Row],[_Days]]),0.1),0)</f>
        <v>0</v>
      </c>
      <c r="FW99" s="42" t="n">
        <f aca="false">Tasks[[#This Row],[_WeightDur]]*Tasks[[#This Row],[_LeafProgress]]</f>
        <v>0</v>
      </c>
      <c r="FX99" s="42" t="n">
        <f aca="false">Tasks[[#This Row],[_WeightDur]]*Tasks[[#This Row],[_PlannedPct]]</f>
        <v>0</v>
      </c>
      <c r="FY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9" s="42" t="str">
        <f aca="false">IF(AND(Tasks[[#This Row],[_IsLeaf]]=1,N(Tasks[[#This Row],[_Days]])=0,Tasks[[#This Row],[_LeafProgress]]&lt;1),Tasks[[#This Row],[_ShownFcstFinish]]+Tasks[[#This Row],[_Row]]/100000,"")</f>
        <v/>
      </c>
      <c r="GA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9" s="42" t="str">
        <f aca="false">IF(Tasks[[#This Row],[Task Name]]="","",LEFT(Tasks[[#This Row],[WBS]],FIND(".",Tasks[[#This Row],[WBS]]&amp;".")-1))</f>
        <v/>
      </c>
      <c r="GC99" s="42" t="str">
        <f aca="false">IF(AND(Tasks[[#This Row],[Task Name]]&lt;&gt;"",Tasks[[#This Row],[_Level]]=1),Tasks[[#This Row],[_Row]],"")</f>
        <v/>
      </c>
      <c r="GD99" s="42" t="str">
        <f aca="false">IF(AND(Tasks[[#This Row],[_IsLeaf]]=1,N(Tasks[[#This Row],[_Days]])=0),Tasks[[#This Row],[Planned Finish]]+Tasks[[#This Row],[_Row]]/100000,"")</f>
        <v/>
      </c>
      <c r="GE99" s="42" t="str">
        <f aca="false">IF(AND(Tasks[[#This Row],[_IsLeaf]]=1,Tasks[[#This Row],[_LeafProgress]]&lt;1,OR(N(Tasks[[#This Row],[Finish Var]])&gt;0,Tasks[[#This Row],[Status]]="Late Start")),MAX(0,Tasks[[#This Row],[Finish Var]])+1-Tasks[[#This Row],[_Row]]/1000000,"")</f>
        <v/>
      </c>
      <c r="GF99" s="42" t="str">
        <f aca="false">IF(AND(Tasks[[#This Row],[_IsLeaf]]=1,N(Tasks[[#This Row],[Actual Start]])=0,Tasks[[#This Row],[_ShownFcstStart]]&gt;=StatusDate,Tasks[[#This Row],[_ShownFcstStart]]&lt;=LookaheadEnd),Tasks[[#This Row],[_ShownFcstStart]]+Tasks[[#This Row],[_Row]]/100000,"")</f>
        <v/>
      </c>
      <c r="GG99" s="42" t="str">
        <f aca="false">IF(AND(Tasks[[#This Row],[_IsLeaf]]=1,Tasks[[#This Row],[_LeafProgress]]&lt;1,Tasks[[#This Row],[_ShownFcstFinish]]&gt;=StatusDate,Tasks[[#This Row],[_ShownFcstFinish]]&lt;=LookaheadEnd),Tasks[[#This Row],[_ShownFcstFinish]]+Tasks[[#This Row],[_Row]]/100000,"")</f>
        <v/>
      </c>
      <c r="GH99" s="42" t="str">
        <f aca="false">IF(Tasks[[#This Row],[_LeafCritical]],Tasks[[#This Row],[_ShownFcstStart]]+Tasks[[#This Row],[_Row]]/100000,"")</f>
        <v/>
      </c>
      <c r="GI99" s="42" t="n">
        <f aca="false">Tasks[[#This Row],[_LeafWork]]*Tasks[[#This Row],[_LeafProgress]]</f>
        <v>0</v>
      </c>
      <c r="GJ99" s="89" t="str">
        <f aca="false">IF(AND(Tasks[[#This Row],[_IsLeaf]]=1,Tasks[[#This Row],[_LeafProgress]]&gt;=1),IF(N(Tasks[[#This Row],[Actual Finish]])&gt;0,Tasks[[#This Row],[Actual Finish]],Tasks[[#This Row],[_ShownFcstFinish]]),"")</f>
        <v/>
      </c>
      <c r="GK99" s="42" t="n">
        <f aca="false">IF(Tasks[[#This Row],[_IsLeaf]]=1,N(Tasks[[#This Row],[Story Points]]),0)</f>
        <v>0</v>
      </c>
      <c r="GL99" s="42" t="str">
        <f aca="false">""</f>
        <v/>
      </c>
      <c r="GM99" s="88" t="b">
        <f aca="false">IF(Tasks[[#This Row],[Task Name]]="",FALSE(),AND(Tasks[[#This Row],[_IsLeaf]]=1,N(Tasks[[#This Row],[_Days]])=0))</f>
        <v>0</v>
      </c>
      <c r="GN99" s="89" t="n">
        <f aca="false">IF(Tasks[[#This Row],[Task Name]]="",0,IF(AND(Tasks[[#This Row],[_IsLeaf]]=1,NOT(Tasks[[#This Row],[_IsMilestone]]),N(Tasks[[#This Row],[Progress]])&gt;0),Tasks[[#This Row],[Start]],0))</f>
        <v>0</v>
      </c>
      <c r="GO99" s="89" t="n">
        <f aca="false">IF(Tasks[[#This Row],[_DoneFrom]]=0,0,IF(Tasks[[#This Row],[Progress]]&gt;=1,Tasks[[#This Row],[Finish]],MAX(Tasks[[#This Row],[_DoneFrom]],Tasks[[#This Row],[Start]]+ROUND((Tasks[[#This Row],[Finish]]-Tasks[[#This Row],[Start]]+1)*Tasks[[#This Row],[Progress]],0)-1)))</f>
        <v>0</v>
      </c>
      <c r="GP99" s="89" t="n">
        <f aca="false">IF(Tasks[[#This Row],[Task Name]]="",0,IF(OR(NOT(Tasks[[#This Row],[_IsLeaf]]=1),Tasks[[#This Row],[_IsMilestone]],N(Tasks[[#This Row],[Progress]])&gt;=1),0,IF(Tasks[[#This Row],[_DoneTo]]&gt;0,Tasks[[#This Row],[_DoneTo]]+1,Tasks[[#This Row],[Start]])))</f>
        <v>0</v>
      </c>
      <c r="GQ99" s="89" t="n">
        <f aca="false">IF(Tasks[[#This Row],[_RemFrom]]=0,0,Tasks[[#This Row],[Finish]])</f>
        <v>0</v>
      </c>
      <c r="GR99" s="88" t="b">
        <f aca="false">IF(Tasks[[#This Row],[Task Name]]="",FALSE(),OR(NOT(BaselineSet),N(Tasks[[#This Row],[Baseline Start]])&gt;0))</f>
        <v>0</v>
      </c>
      <c r="GS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9" s="90" t="str">
        <f aca="false">IF(Tasks[[#This Row],[_IsLeaf]]=1,Tasks[[#This Row],[_Row]],"")</f>
        <v/>
      </c>
      <c r="GW99" s="90" t="str">
        <f aca="false">IFERROR(INDEX(Tasks[UID],SMALL(Tasks[_PickKey],Tasks[[#This Row],[_Row]]))&amp;" "&amp;INDEX(Tasks[Task Name],SMALL(Tasks[_PickKey],Tasks[[#This Row],[_Row]])),"")</f>
        <v/>
      </c>
      <c r="GX99" s="42" t="str">
        <f aca="false">IF(Tasks[[#This Row],[Task Name]]="","",IF(Tasks[[#This Row],[_IsSummary]],NETWORKDAYS.INTL(Tasks[[#This Row],[Start]],Tasks[[#This Row],[Finish]],WorkWeek,Holidays),N(Tasks[[#This Row],[_Days]])))</f>
        <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3"/>
      <c r="U100" s="23"/>
      <c r="V100" s="83"/>
      <c r="W100" s="23"/>
      <c r="X100" s="83"/>
      <c r="Y100" s="23"/>
      <c r="Z100" s="83"/>
      <c r="AA100" s="23"/>
      <c r="AB100" s="23"/>
      <c r="AC100" s="7"/>
      <c r="AD100" s="7"/>
      <c r="AE100" s="62" t="str">
        <f aca="false">IF(Tasks[[#This Row],[Task Name]]="","",IF(Tasks[[#This Row],[_IsSummary]],MIN(INDEX(Tasks[_ShownFcstStart],Tasks[[#This Row],[_Row]]+1):INDEX(Tasks[_ShownFcstStart],Tasks[[#This Row],[_Row]]+Tasks[[#This Row],[_Descendants]])),Tasks[[#This Row],[_ShownFcstStart]]))</f>
        <v/>
      </c>
      <c r="AF100" s="62"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0" s="7"/>
      <c r="AK100" s="22"/>
      <c r="AL100" s="23"/>
      <c r="AM100" s="7"/>
      <c r="AN100" s="46"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2" t="str">
        <f aca="false">IF(Tasks[[#This Row],[Task Name]]="","",IF(N(Tasks[[#This Row],[Baseline Start]])&gt;0,Tasks[[#This Row],[Baseline Start]],Tasks[[#This Row],[_CalcStart]]))</f>
        <v/>
      </c>
      <c r="AR100" s="62" t="str">
        <f aca="false">IF(Tasks[[#This Row],[Task Name]]="","",IF(N(Tasks[[#This Row],[Baseline Finish]])&gt;0,Tasks[[#This Row],[Baseline Finish]],Tasks[[#This Row],[_CalcFinish]]))</f>
        <v/>
      </c>
      <c r="AS100" s="46" t="str">
        <f aca="false">IF(Tasks[[#This Row],[Task Name]]="","",IF(Tasks[[#This Row],[Start]]&gt;=Tasks[[#This Row],[Planned Start]],NETWORKDAYS.INTL(Tasks[[#This Row],[Planned Start]],Tasks[[#This Row],[Start]],WorkWeek,Holidays)-1,1-NETWORKDAYS.INTL(Tasks[[#This Row],[Start]],Tasks[[#This Row],[Planned Start]],WorkWeek,Holidays)))</f>
        <v/>
      </c>
      <c r="AT100" s="62" t="str">
        <f aca="false">IF(Tasks[[#This Row],[Task Name]]="","",IF(Tasks[[#This Row],[_IsSummary]],MIN(INDEX(Tasks[_LeafLateStart],Tasks[[#This Row],[_Row]]+1):INDEX(Tasks[_LeafLateStart],Tasks[[#This Row],[_Row]]+Tasks[[#This Row],[_Descendants]])),Tasks[[#This Row],[_LeafLateStart]]))</f>
        <v/>
      </c>
      <c r="AU100" s="62" t="str">
        <f aca="false">IF(Tasks[[#This Row],[Task Name]]="","",IF(Tasks[[#This Row],[_IsSummary]],MAX(INDEX(Tasks[_LeafLateFinish],Tasks[[#This Row],[_Row]]+1):INDEX(Tasks[_LeafLateFinish],Tasks[[#This Row],[_Row]]+Tasks[[#This Row],[_Descendants]])),Tasks[[#This Row],[_LeafLateFinish]]))</f>
        <v/>
      </c>
      <c r="AV100" s="46"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4"/>
      <c r="BA1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5"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6"/>
      <c r="BJ100" s="22"/>
      <c r="BK100" s="46" t="str">
        <f aca="false">IF(OR(Tasks[[#This Row],[Task Name]]="",Tasks[[#This Row],[Baseline Duration]]=""),"",Tasks[[#This Row],[_SpanDays]]-N(Tasks[[#This Row],[Baseline Duration]]))</f>
        <v/>
      </c>
      <c r="BL100" s="85" t="str">
        <f aca="false">IF(OR(Tasks[[#This Row],[Task Name]]="",Tasks[[#This Row],[Baseline Work]]=""),"",Tasks[[#This Row],[Work]]-N(Tasks[[#This Row],[Baseline Work]]))</f>
        <v/>
      </c>
      <c r="BM100" s="62" t="str">
        <f aca="false">IF(Tasks[[#This Row],[Task Name]]="","",IF(OR(TakeBaseline="Yes",N(Tasks[[#This Row],[Baseline Start]])=0),Tasks[[#This Row],[Start]],Tasks[[#This Row],[Baseline Start]]))</f>
        <v/>
      </c>
      <c r="BN100" s="62"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5" t="str">
        <f aca="false">IF(Tasks[[#This Row],[Task Name]]="","",IF(OR(TakeBaseline="Yes",N(Tasks[[#This Row],[Baseline Work]])=0),Tasks[[#This Row],[Work]],Tasks[[#This Row],[Baseline Work]]))</f>
        <v/>
      </c>
      <c r="BQ100" s="7"/>
      <c r="BR100" s="7"/>
      <c r="BS100" s="22"/>
      <c r="BT100" s="87"/>
      <c r="BU100" s="42" t="str">
        <f aca="false">IF(Tasks[[#This Row],[Task Name]]="","",MAX(1,N(Tasks[[#This Row],[Level]])))</f>
        <v/>
      </c>
      <c r="BV100" s="42" t="n">
        <f aca="false">ROW()-ROW(Tasks[[#Headers],[ID]])</f>
        <v>95</v>
      </c>
      <c r="BW100" s="42" t="n">
        <f aca="false">IF(OR(Tasks[[#This Row],[Task Name]]="",Tasks[[#This Row],[_Level]]&lt;=1),0,IFERROR(LOOKUP(2,1/(Tasks[[#Headers],[_Level]]:Tasks[[#This Row],[_Level]]=Tasks[[#This Row],[_Level]]-1),ROW(Tasks[[#Headers],[_Level]]:Tasks[[#This Row],[_Level]])),0))</f>
        <v>0</v>
      </c>
      <c r="BX100" s="42" t="n">
        <f aca="false">IFERROR(N(INDEX(Tasks[_Level],Tasks[[#This Row],[_Row]]+1)),0)</f>
        <v>0</v>
      </c>
      <c r="BY100" s="88" t="b">
        <f aca="false">AND(Tasks[[#This Row],[Task Name]]&lt;&gt;"",Tasks[[#This Row],[_NextLevel]]&gt;Tasks[[#This Row],[_Level]])</f>
        <v>0</v>
      </c>
      <c r="BZ100" s="42" t="n">
        <f aca="false">IF(Tasks[[#This Row],[_IsSummary]],COUNTIF(Tasks[WBS],Tasks[[#This Row],[WBS]]&amp;".*"),0)</f>
        <v>0</v>
      </c>
      <c r="CA100" s="42" t="n">
        <f aca="false">IF(AND(Tasks[[#This Row],[Task Name]]&lt;&gt;"",NOT(Tasks[[#This Row],[_IsSummary]])),1,0)</f>
        <v>0</v>
      </c>
      <c r="CB100" s="42" t="n">
        <f aca="false">IF(N(Tasks[[#This Row],[_Pred1UID]])=0,0,IFERROR(MATCH(Tasks[[#This Row],[_Pred1UID]],Tasks[UID],0),-1))</f>
        <v>0</v>
      </c>
      <c r="CC100" s="42" t="n">
        <f aca="false">IF(N(Tasks[[#This Row],[_Pred2UID]])=0,0,IFERROR(MATCH(Tasks[[#This Row],[_Pred2UID]],Tasks[UID],0),-1))</f>
        <v>0</v>
      </c>
      <c r="CD100" s="42" t="n">
        <f aca="false">IF(N(Tasks[[#This Row],[_Pred3UID]])=0,0,IFERROR(MATCH(Tasks[[#This Row],[_Pred3UID]],Tasks[UID],0),-1))</f>
        <v>0</v>
      </c>
      <c r="CE100" s="42" t="n">
        <f aca="false">IF(N(Tasks[[#This Row],[_Pred4UID]])=0,0,IFERROR(MATCH(Tasks[[#This Row],[_Pred4UID]],Tasks[UID],0),-1))</f>
        <v>0</v>
      </c>
      <c r="CF1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0" s="89" t="n">
        <f aca="false">IF(OR(Tasks[[#This Row],[_ConstraintCode]]=2,Tasks[[#This Row],[_ConstraintCode]]=3,Tasks[[#This Row],[_ConstraintCode]]=4,Tasks[[#This Row],[_ConstraintCode]]=6),Tasks[[#This Row],[_ConstraintStart]],0)</f>
        <v>0</v>
      </c>
      <c r="CI100" s="89" t="n">
        <f aca="false">IF(OR(Tasks[[#This Row],[_ConstraintCode]]=2,Tasks[[#This Row],[_ConstraintCode]]=3,Tasks[[#This Row],[_ConstraintCode]]=5,Tasks[[#This Row],[_ConstraintCode]]=7),Tasks[[#This Row],[_ConstraintStart]],2958465)</f>
        <v>2958465</v>
      </c>
      <c r="CJ1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0" s="89" t="str">
        <f aca="false">IF(NOT(Tasks[[#This Row],[_IsLeaf]]=1),"",IF(N(Tasks[[#This Row],[_Days]])&lt;=0,Tasks[[#This Row],[_LeafCalcStart]],WORKDAY.INTL(Tasks[[#This Row],[_LeafCalcStart]],Tasks[[#This Row],[_Days]]-1,WorkWeek,Holidays)))</f>
        <v/>
      </c>
      <c r="CL1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0" s="42" t="str">
        <f aca="false">IF(Tasks[[#This Row],[_Predecessors]]="","",TRIM(MID(SUBSTITUTE(SUBSTITUTE(SUBSTITUTE(UPPER(Tasks[[#This Row],[_Predecessors]]),";",",")," ",""),",",REPT(" ",99)),1,99)))</f>
        <v/>
      </c>
      <c r="CO100" s="42" t="str">
        <f aca="false">IF(Tasks[[#This Row],[_Pred1Text]]="","",IFERROR(VALUE(LEFT(Tasks[[#This Row],[_Pred1Text]],MIN(FIND("F",Tasks[[#This Row],[_Pred1Text]]&amp;"F"),FIND("S",Tasks[[#This Row],[_Pred1Text]]&amp;"S"),FIND("+",Tasks[[#This Row],[_Pred1Text]]&amp;"+"),FIND("-",Tasks[[#This Row],[_Pred1Text]]&amp;"-"))-1)),""))</f>
        <v/>
      </c>
      <c r="CP1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0" s="42" t="str">
        <f aca="false">IF(Tasks[[#This Row],[_Pred1Text]]="","",TRIM(MID(SUBSTITUTE(SUBSTITUTE(SUBSTITUTE(UPPER(Tasks[[#This Row],[_Predecessors]]),";",",")," ",""),",",REPT(" ",99)),100,99)))</f>
        <v/>
      </c>
      <c r="CS100" s="42" t="str">
        <f aca="false">IF(Tasks[[#This Row],[_Pred2Text]]="","",IFERROR(VALUE(LEFT(Tasks[[#This Row],[_Pred2Text]],MIN(FIND("F",Tasks[[#This Row],[_Pred2Text]]&amp;"F"),FIND("S",Tasks[[#This Row],[_Pred2Text]]&amp;"S"),FIND("+",Tasks[[#This Row],[_Pred2Text]]&amp;"+"),FIND("-",Tasks[[#This Row],[_Pred2Text]]&amp;"-"))-1)),""))</f>
        <v/>
      </c>
      <c r="CT1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0" s="42" t="str">
        <f aca="false">IF(Tasks[[#This Row],[_Pred2Text]]="","",TRIM(MID(SUBSTITUTE(SUBSTITUTE(SUBSTITUTE(UPPER(Tasks[[#This Row],[_Predecessors]]),";",",")," ",""),",",REPT(" ",99)),199,99)))</f>
        <v/>
      </c>
      <c r="CW100" s="42" t="str">
        <f aca="false">IF(Tasks[[#This Row],[_Pred3Text]]="","",IFERROR(VALUE(LEFT(Tasks[[#This Row],[_Pred3Text]],MIN(FIND("F",Tasks[[#This Row],[_Pred3Text]]&amp;"F"),FIND("S",Tasks[[#This Row],[_Pred3Text]]&amp;"S"),FIND("+",Tasks[[#This Row],[_Pred3Text]]&amp;"+"),FIND("-",Tasks[[#This Row],[_Pred3Text]]&amp;"-"))-1)),""))</f>
        <v/>
      </c>
      <c r="CX1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0" s="42" t="str">
        <f aca="false">IF(Tasks[[#This Row],[_Pred3Text]]="","",TRIM(MID(SUBSTITUTE(SUBSTITUTE(SUBSTITUTE(UPPER(Tasks[[#This Row],[_Predecessors]]),";",",")," ",""),",",REPT(" ",99)),298,99)))</f>
        <v/>
      </c>
      <c r="DA100" s="42" t="str">
        <f aca="false">IF(Tasks[[#This Row],[_Pred4Text]]="","",IFERROR(VALUE(LEFT(Tasks[[#This Row],[_Pred4Text]],MIN(FIND("F",Tasks[[#This Row],[_Pred4Text]]&amp;"F"),FIND("S",Tasks[[#This Row],[_Pred4Text]]&amp;"S"),FIND("+",Tasks[[#This Row],[_Pred4Text]]&amp;"+"),FIND("-",Tasks[[#This Row],[_Pred4Text]]&amp;"-"))-1)),""))</f>
        <v/>
      </c>
      <c r="DB1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0" s="42" t="str">
        <f aca="false">IF(OR(Tasks[[#This Row],[Task Name]]="",Tasks[[#This Row],[_Resources]]=""),"",TRIM(MID(SUBSTITUTE(Tasks[[#This Row],[_Resources]],",",REPT(" ",99)),1,99)))</f>
        <v/>
      </c>
      <c r="DE100" s="42" t="str">
        <f aca="false">IF(Tasks[[#This Row],[_Res1Text]]="","",TRIM(MID(SUBSTITUTE(Tasks[[#This Row],[_Resources]],",",REPT(" ",99)),100,99)))</f>
        <v/>
      </c>
      <c r="DF100" s="42" t="str">
        <f aca="false">IF(Tasks[[#This Row],[_Res2Text]]="","",TRIM(MID(SUBSTITUTE(Tasks[[#This Row],[_Resources]],",",REPT(" ",99)),199,99)))</f>
        <v/>
      </c>
      <c r="DG100" s="42" t="str">
        <f aca="false">IF(Tasks[[#This Row],[_Res3Text]]="","",TRIM(MID(SUBSTITUTE(Tasks[[#This Row],[_Resources]],",",REPT(" ",99)),298,99)))</f>
        <v/>
      </c>
      <c r="DH100" s="42" t="n">
        <f aca="false">IF(Tasks[[#This Row],[_Res1Text]]="",0,IFERROR(MATCH(TRIM(LEFT(Tasks[[#This Row],[_Res1Text]],FIND("[",Tasks[[#This Row],[_Res1Text]]&amp;"[")-1)),res_Name,0),IFERROR(MATCH(TRIM(LEFT(Tasks[[#This Row],[_Res1Text]],FIND("[",Tasks[[#This Row],[_Res1Text]]&amp;"[")-1)),res_Initials,0),0)))</f>
        <v>0</v>
      </c>
      <c r="DI100" s="42" t="n">
        <f aca="false">IF(Tasks[[#This Row],[_Res2Text]]="",0,IFERROR(MATCH(TRIM(LEFT(Tasks[[#This Row],[_Res2Text]],FIND("[",Tasks[[#This Row],[_Res2Text]]&amp;"[")-1)),res_Name,0),IFERROR(MATCH(TRIM(LEFT(Tasks[[#This Row],[_Res2Text]],FIND("[",Tasks[[#This Row],[_Res2Text]]&amp;"[")-1)),res_Initials,0),0)))</f>
        <v>0</v>
      </c>
      <c r="DJ100" s="42" t="n">
        <f aca="false">IF(Tasks[[#This Row],[_Res3Text]]="",0,IFERROR(MATCH(TRIM(LEFT(Tasks[[#This Row],[_Res3Text]],FIND("[",Tasks[[#This Row],[_Res3Text]]&amp;"[")-1)),res_Name,0),IFERROR(MATCH(TRIM(LEFT(Tasks[[#This Row],[_Res3Text]],FIND("[",Tasks[[#This Row],[_Res3Text]]&amp;"[")-1)),res_Initials,0),0)))</f>
        <v>0</v>
      </c>
      <c r="DK100" s="42" t="n">
        <f aca="false">IF(Tasks[[#This Row],[_Res4Text]]="",0,IFERROR(MATCH(TRIM(LEFT(Tasks[[#This Row],[_Res4Text]],FIND("[",Tasks[[#This Row],[_Res4Text]]&amp;"[")-1)),res_Name,0),IFERROR(MATCH(TRIM(LEFT(Tasks[[#This Row],[_Res4Text]],FIND("[",Tasks[[#This Row],[_Res4Text]]&amp;"[")-1)),res_Initials,0),0)))</f>
        <v>0</v>
      </c>
      <c r="DL100" s="42" t="str">
        <f aca="false">IF(Tasks[[#This Row],[_Res1Text]]="","",IF(Tasks[[#This Row],[_Res1Row]]&gt;0,INDEX(res_Name,Tasks[[#This Row],[_Res1Row]]),TRIM(LEFT(Tasks[[#This Row],[_Res1Text]],FIND("[",Tasks[[#This Row],[_Res1Text]]&amp;"[")-1))))</f>
        <v/>
      </c>
      <c r="DM1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0" s="42" t="n">
        <f aca="false">IF(NOT(Tasks[[#This Row],[_IsLeaf]]=1),0,(Tasks[[#This Row],[_Resource1]]&lt;&gt;"")+(Tasks[[#This Row],[_Res2]]&lt;&gt;"")+(Tasks[[#This Row],[_Res3]]&lt;&gt;"")+(Tasks[[#This Row],[_Res4]]&lt;&gt;""))</f>
        <v>0</v>
      </c>
      <c r="DO100" s="42" t="str">
        <f aca="false">IF(Tasks[[#This Row],[_Res2Text]]="","",IF(Tasks[[#This Row],[_Res2Row]]&gt;0,INDEX(res_Name,Tasks[[#This Row],[_Res2Row]]),TRIM(LEFT(Tasks[[#This Row],[_Res2Text]],FIND("[",Tasks[[#This Row],[_Res2Text]]&amp;"[")-1))))</f>
        <v/>
      </c>
      <c r="DP1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0" s="42" t="n">
        <f aca="false">IF(OR(NOT(Tasks[[#This Row],[_IsLeaf]]=1),Tasks[[#This Row],[_Res2Row]]=0),0,N(Tasks[[#This Row],[_Days]])*HoursPerDay*IF(Tasks[[#This Row],[_Res2Units]]="",DefaultUnits,Tasks[[#This Row],[_Res2Units]]))</f>
        <v>0</v>
      </c>
      <c r="DR100" s="42" t="n">
        <f aca="false">IF(AND(AND(Tasks[[#This Row],[_IsLeaf]]=1,Tasks[[#This Row],[_LeafTotalWork]]&gt;0),Tasks[[#This Row],[_Res2Work]]&gt;0),Tasks[[#This Row],[_Res2Work]]/(Tasks[[#This Row],[_FinishWorkday]]-Tasks[[#This Row],[_StartWorkday]]+1),0)</f>
        <v>0</v>
      </c>
      <c r="DS100" s="42" t="n">
        <f aca="false">Tasks[[#This Row],[_Res2WorkPerWD]]*MAX(0,Tasks[[#This Row],[_StartWorkday]]-1)</f>
        <v>0</v>
      </c>
      <c r="DT100" s="42" t="n">
        <f aca="false">Tasks[[#This Row],[_Res2Work]]*Tasks[[#This Row],[_LeafProgress]]</f>
        <v>0</v>
      </c>
      <c r="DU100" s="42" t="str">
        <f aca="false">IF(Tasks[[#This Row],[_Res3Text]]="","",IF(Tasks[[#This Row],[_Res3Row]]&gt;0,INDEX(res_Name,Tasks[[#This Row],[_Res3Row]]),TRIM(LEFT(Tasks[[#This Row],[_Res3Text]],FIND("[",Tasks[[#This Row],[_Res3Text]]&amp;"[")-1))))</f>
        <v/>
      </c>
      <c r="DV1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0" s="42" t="n">
        <f aca="false">IF(OR(NOT(Tasks[[#This Row],[_IsLeaf]]=1),Tasks[[#This Row],[_Res3Row]]=0),0,N(Tasks[[#This Row],[_Days]])*HoursPerDay*IF(Tasks[[#This Row],[_Res3Units]]="",DefaultUnits,Tasks[[#This Row],[_Res3Units]]))</f>
        <v>0</v>
      </c>
      <c r="DX100" s="42" t="n">
        <f aca="false">IF(AND(AND(Tasks[[#This Row],[_IsLeaf]]=1,Tasks[[#This Row],[_LeafTotalWork]]&gt;0),Tasks[[#This Row],[_Res3Work]]&gt;0),Tasks[[#This Row],[_Res3Work]]/(Tasks[[#This Row],[_FinishWorkday]]-Tasks[[#This Row],[_StartWorkday]]+1),0)</f>
        <v>0</v>
      </c>
      <c r="DY100" s="42" t="n">
        <f aca="false">Tasks[[#This Row],[_Res3WorkPerWD]]*MAX(0,Tasks[[#This Row],[_StartWorkday]]-1)</f>
        <v>0</v>
      </c>
      <c r="DZ100" s="42" t="n">
        <f aca="false">Tasks[[#This Row],[_Res3Work]]*Tasks[[#This Row],[_LeafProgress]]</f>
        <v>0</v>
      </c>
      <c r="EA100" s="42" t="str">
        <f aca="false">IF(Tasks[[#This Row],[_Res4Text]]="","",IF(Tasks[[#This Row],[_Res4Row]]&gt;0,INDEX(res_Name,Tasks[[#This Row],[_Res4Row]]),TRIM(LEFT(Tasks[[#This Row],[_Res4Text]],FIND("[",Tasks[[#This Row],[_Res4Text]]&amp;"[")-1))))</f>
        <v/>
      </c>
      <c r="EB1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0" s="42" t="n">
        <f aca="false">IF(OR(NOT(Tasks[[#This Row],[_IsLeaf]]=1),Tasks[[#This Row],[_Res4Row]]=0),0,N(Tasks[[#This Row],[_Days]])*HoursPerDay*IF(Tasks[[#This Row],[_Res4Units]]="",DefaultUnits,Tasks[[#This Row],[_Res4Units]]))</f>
        <v>0</v>
      </c>
      <c r="ED100" s="42" t="n">
        <f aca="false">IF(AND(AND(Tasks[[#This Row],[_IsLeaf]]=1,Tasks[[#This Row],[_LeafTotalWork]]&gt;0),Tasks[[#This Row],[_Res4Work]]&gt;0),Tasks[[#This Row],[_Res4Work]]/(Tasks[[#This Row],[_FinishWorkday]]-Tasks[[#This Row],[_StartWorkday]]+1),0)</f>
        <v>0</v>
      </c>
      <c r="EE100" s="42" t="n">
        <f aca="false">Tasks[[#This Row],[_Res4WorkPerWD]]*MAX(0,Tasks[[#This Row],[_StartWorkday]]-1)</f>
        <v>0</v>
      </c>
      <c r="EF100" s="42" t="n">
        <f aca="false">Tasks[[#This Row],[_Res4Work]]*Tasks[[#This Row],[_LeafProgress]]</f>
        <v>0</v>
      </c>
      <c r="EG100" s="42" t="n">
        <f aca="false">IF(ISNUMBER(Tasks[[#This Row],[% Complete]]),Tasks[[#This Row],[% Complete]],IF(Tasks[[#This Row],[Stage]]="",0,IFERROR(INDEX(stg_Pct,MATCH(Tasks[[#This Row],[Stage]],stg_Name,0)),0)))</f>
        <v>0</v>
      </c>
      <c r="EH100" s="42" t="n">
        <f aca="false">IF(NOT(Tasks[[#This Row],[_IsLeaf]]=1),0,IF(N(Tasks[[#This Row],[Actual Finish]])&gt;0,1,MIN(1,Tasks[[#This Row],[_Pct]])))</f>
        <v>0</v>
      </c>
      <c r="EI100" s="42" t="n">
        <f aca="false">IF(OR(NOT(Tasks[[#This Row],[_IsLeaf]]=1),Tasks[[#This Row],[_Res1Row]]=0),0,N(Tasks[[#This Row],[_Days]])*HoursPerDay*IF(Tasks[[#This Row],[_Units1]]="",DefaultUnits,Tasks[[#This Row],[_Units1]]))</f>
        <v>0</v>
      </c>
      <c r="EJ100" s="42" t="n">
        <f aca="false">Tasks[[#This Row],[_LeafWork]]+Tasks[[#This Row],[_Res2Work]]+Tasks[[#This Row],[_Res3Work]]+Tasks[[#This Row],[_Res4Work]]</f>
        <v>0</v>
      </c>
      <c r="EK1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0" s="42" t="n">
        <f aca="false">IF(NOT(Tasks[[#This Row],[_IsLeaf]]=1),0,MAX(_xlfn.MAXIFS(Tasks[_Row],Tasks[_Pred1UID],Tasks[[#This Row],[UID]]),_xlfn.MAXIFS(Tasks[_Row],Tasks[_Pred2UID],Tasks[[#This Row],[UID]]),_xlfn.MAXIFS(Tasks[_Row],Tasks[_Pred3UID],Tasks[[#This Row],[UID]]),_xlfn.MAXIFS(Tasks[_Row],Tasks[_Pred4UID],Tasks[[#This Row],[UID]])))</f>
        <v>0</v>
      </c>
      <c r="ET1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0" s="89" t="str">
        <f aca="false">IF(NOT(Tasks[[#This Row],[_IsLeaf]]=1),"",IF(N(Tasks[[#This Row],[_Days]])&lt;=0,Tasks[[#This Row],[_LeafLateFinish]],WORKDAY.INTL(Tasks[[#This Row],[_LeafLateFinish]],-(Tasks[[#This Row],[_Days]]-1),WorkWeek,Holidays)))</f>
        <v/>
      </c>
      <c r="EW1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0" s="88" t="b">
        <f aca="false">AND(Tasks[[#This Row],[_IsLeaf]]=1,Tasks[[#This Row],[_LeafProgress]]&lt;1,N(Tasks[[#This Row],[_LeafTotalSlack]])&lt;=CriticalSlackDays)</f>
        <v>0</v>
      </c>
      <c r="EY100" s="42" t="n">
        <f aca="false">IF(AND(Tasks[[#This Row],[_IsLeaf]]=1,Tasks[[#This Row],[_ConstraintCode]]=1,Tasks[[#This Row],[Mode]]&lt;&gt;"Manual",N(Tasks[[#This Row],[Actual Start]])=0),MAX(0,N(Tasks[[#This Row],[Free Slack]])),0)</f>
        <v>0</v>
      </c>
      <c r="EZ100" s="89" t="str">
        <f aca="false">IF(NOT(Tasks[[#This Row],[_IsLeaf]]=1),"",IF(Tasks[[#This Row],[_AlapShift]]=0,Tasks[[#This Row],[_LeafCalcStart]],WORKDAY.INTL(Tasks[[#This Row],[_LeafCalcStart]],Tasks[[#This Row],[_AlapShift]],WorkWeek,Holidays)))</f>
        <v/>
      </c>
      <c r="FA100" s="89" t="str">
        <f aca="false">IF(NOT(Tasks[[#This Row],[_IsLeaf]]=1),"",IF(Tasks[[#This Row],[_AlapShift]]=0,Tasks[[#This Row],[_LeafCalcFinish]],WORKDAY.INTL(Tasks[[#This Row],[_LeafCalcFinish]],Tasks[[#This Row],[_AlapShift]],WorkWeek,Holidays)))</f>
        <v/>
      </c>
      <c r="FB100" s="89" t="str">
        <f aca="false">IF(NOT(Tasks[[#This Row],[_IsLeaf]]=1),"",IF(Tasks[[#This Row],[_AlapShift]]=0,Tasks[[#This Row],[_LeafFcstStart]],WORKDAY.INTL(Tasks[[#This Row],[_LeafFcstStart]],Tasks[[#This Row],[_AlapShift]],WorkWeek,Holidays)))</f>
        <v/>
      </c>
      <c r="FC100" s="89" t="str">
        <f aca="false">IF(NOT(Tasks[[#This Row],[_IsLeaf]]=1),"",IF(Tasks[[#This Row],[_AlapShift]]=0,Tasks[[#This Row],[_LeafFcstFinish]],WORKDAY.INTL(Tasks[[#This Row],[_LeafFcstFinish]],Tasks[[#This Row],[_AlapShift]],WorkWeek,Holidays)))</f>
        <v/>
      </c>
      <c r="FD100" s="89" t="str">
        <f aca="false">IF(Tasks[[#This Row],[Task Name]]="","",IF(Tasks[[#This Row],[_IsSummary]],MIN(INDEX(Tasks[_ShownCalcStart],Tasks[[#This Row],[_Row]]+1):INDEX(Tasks[_ShownCalcStart],Tasks[[#This Row],[_Row]]+Tasks[[#This Row],[_Descendants]])),Tasks[[#This Row],[_ShownCalcStart]]))</f>
        <v/>
      </c>
      <c r="FE100" s="89" t="str">
        <f aca="false">IF(Tasks[[#This Row],[Task Name]]="","",IF(Tasks[[#This Row],[_IsSummary]],MAX(INDEX(Tasks[_ShownCalcFinish],Tasks[[#This Row],[_Row]]+1):INDEX(Tasks[_ShownCalcFinish],Tasks[[#This Row],[_Row]]+Tasks[[#This Row],[_Descendants]])),Tasks[[#This Row],[_ShownCalcFinish]]))</f>
        <v/>
      </c>
      <c r="FF1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0" s="42" t="n">
        <f aca="false">IF(AND(Tasks[[#This Row],[_IsLeaf]]=1,Tasks[[#This Row],[_LeafTotalWork]]&gt;0),NETWORKDAYS.INTL(ProjectStart,Tasks[[#This Row],[_ShownFcstStart]],WorkWeek,Holidays),0)</f>
        <v>0</v>
      </c>
      <c r="FS100" s="42" t="n">
        <f aca="false">IF(AND(Tasks[[#This Row],[_IsLeaf]]=1,Tasks[[#This Row],[_LeafTotalWork]]&gt;0),MAX(Tasks[[#This Row],[_StartWorkday]],NETWORKDAYS.INTL(ProjectStart,Tasks[[#This Row],[_ShownFcstFinish]],WorkWeek,Holidays)),0)</f>
        <v>0</v>
      </c>
      <c r="FT100" s="42" t="n">
        <f aca="false">IF(AND(Tasks[[#This Row],[_IsLeaf]]=1,Tasks[[#This Row],[_LeafTotalWork]]&gt;0),Tasks[[#This Row],[_LeafWork]]/(Tasks[[#This Row],[_FinishWorkday]]-Tasks[[#This Row],[_StartWorkday]]+1),0)</f>
        <v>0</v>
      </c>
      <c r="FU100" s="42" t="n">
        <f aca="false">Tasks[[#This Row],[_WorkPerWorkday]]*(Tasks[[#This Row],[_StartWorkday]]-1)</f>
        <v>-0</v>
      </c>
      <c r="FV100" s="42" t="n">
        <f aca="false">IF(Tasks[[#This Row],[_IsLeaf]]=1,MAX(N(Tasks[[#This Row],[_Days]]),0.1),0)</f>
        <v>0</v>
      </c>
      <c r="FW100" s="42" t="n">
        <f aca="false">Tasks[[#This Row],[_WeightDur]]*Tasks[[#This Row],[_LeafProgress]]</f>
        <v>0</v>
      </c>
      <c r="FX100" s="42" t="n">
        <f aca="false">Tasks[[#This Row],[_WeightDur]]*Tasks[[#This Row],[_PlannedPct]]</f>
        <v>0</v>
      </c>
      <c r="FY1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0" s="42" t="str">
        <f aca="false">IF(AND(Tasks[[#This Row],[_IsLeaf]]=1,N(Tasks[[#This Row],[_Days]])=0,Tasks[[#This Row],[_LeafProgress]]&lt;1),Tasks[[#This Row],[_ShownFcstFinish]]+Tasks[[#This Row],[_Row]]/100000,"")</f>
        <v/>
      </c>
      <c r="GA1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0" s="42" t="str">
        <f aca="false">IF(Tasks[[#This Row],[Task Name]]="","",LEFT(Tasks[[#This Row],[WBS]],FIND(".",Tasks[[#This Row],[WBS]]&amp;".")-1))</f>
        <v/>
      </c>
      <c r="GC100" s="42" t="str">
        <f aca="false">IF(AND(Tasks[[#This Row],[Task Name]]&lt;&gt;"",Tasks[[#This Row],[_Level]]=1),Tasks[[#This Row],[_Row]],"")</f>
        <v/>
      </c>
      <c r="GD100" s="42" t="str">
        <f aca="false">IF(AND(Tasks[[#This Row],[_IsLeaf]]=1,N(Tasks[[#This Row],[_Days]])=0),Tasks[[#This Row],[Planned Finish]]+Tasks[[#This Row],[_Row]]/100000,"")</f>
        <v/>
      </c>
      <c r="GE100" s="42" t="str">
        <f aca="false">IF(AND(Tasks[[#This Row],[_IsLeaf]]=1,Tasks[[#This Row],[_LeafProgress]]&lt;1,OR(N(Tasks[[#This Row],[Finish Var]])&gt;0,Tasks[[#This Row],[Status]]="Late Start")),MAX(0,Tasks[[#This Row],[Finish Var]])+1-Tasks[[#This Row],[_Row]]/1000000,"")</f>
        <v/>
      </c>
      <c r="GF100" s="42" t="str">
        <f aca="false">IF(AND(Tasks[[#This Row],[_IsLeaf]]=1,N(Tasks[[#This Row],[Actual Start]])=0,Tasks[[#This Row],[_ShownFcstStart]]&gt;=StatusDate,Tasks[[#This Row],[_ShownFcstStart]]&lt;=LookaheadEnd),Tasks[[#This Row],[_ShownFcstStart]]+Tasks[[#This Row],[_Row]]/100000,"")</f>
        <v/>
      </c>
      <c r="GG100" s="42" t="str">
        <f aca="false">IF(AND(Tasks[[#This Row],[_IsLeaf]]=1,Tasks[[#This Row],[_LeafProgress]]&lt;1,Tasks[[#This Row],[_ShownFcstFinish]]&gt;=StatusDate,Tasks[[#This Row],[_ShownFcstFinish]]&lt;=LookaheadEnd),Tasks[[#This Row],[_ShownFcstFinish]]+Tasks[[#This Row],[_Row]]/100000,"")</f>
        <v/>
      </c>
      <c r="GH100" s="42" t="str">
        <f aca="false">IF(Tasks[[#This Row],[_LeafCritical]],Tasks[[#This Row],[_ShownFcstStart]]+Tasks[[#This Row],[_Row]]/100000,"")</f>
        <v/>
      </c>
      <c r="GI100" s="42" t="n">
        <f aca="false">Tasks[[#This Row],[_LeafWork]]*Tasks[[#This Row],[_LeafProgress]]</f>
        <v>0</v>
      </c>
      <c r="GJ100" s="89" t="str">
        <f aca="false">IF(AND(Tasks[[#This Row],[_IsLeaf]]=1,Tasks[[#This Row],[_LeafProgress]]&gt;=1),IF(N(Tasks[[#This Row],[Actual Finish]])&gt;0,Tasks[[#This Row],[Actual Finish]],Tasks[[#This Row],[_ShownFcstFinish]]),"")</f>
        <v/>
      </c>
      <c r="GK100" s="42" t="n">
        <f aca="false">IF(Tasks[[#This Row],[_IsLeaf]]=1,N(Tasks[[#This Row],[Story Points]]),0)</f>
        <v>0</v>
      </c>
      <c r="GL100" s="42" t="str">
        <f aca="false">""</f>
        <v/>
      </c>
      <c r="GM100" s="88" t="b">
        <f aca="false">IF(Tasks[[#This Row],[Task Name]]="",FALSE(),AND(Tasks[[#This Row],[_IsLeaf]]=1,N(Tasks[[#This Row],[_Days]])=0))</f>
        <v>0</v>
      </c>
      <c r="GN100" s="89" t="n">
        <f aca="false">IF(Tasks[[#This Row],[Task Name]]="",0,IF(AND(Tasks[[#This Row],[_IsLeaf]]=1,NOT(Tasks[[#This Row],[_IsMilestone]]),N(Tasks[[#This Row],[Progress]])&gt;0),Tasks[[#This Row],[Start]],0))</f>
        <v>0</v>
      </c>
      <c r="GO100" s="89" t="n">
        <f aca="false">IF(Tasks[[#This Row],[_DoneFrom]]=0,0,IF(Tasks[[#This Row],[Progress]]&gt;=1,Tasks[[#This Row],[Finish]],MAX(Tasks[[#This Row],[_DoneFrom]],Tasks[[#This Row],[Start]]+ROUND((Tasks[[#This Row],[Finish]]-Tasks[[#This Row],[Start]]+1)*Tasks[[#This Row],[Progress]],0)-1)))</f>
        <v>0</v>
      </c>
      <c r="GP100" s="89" t="n">
        <f aca="false">IF(Tasks[[#This Row],[Task Name]]="",0,IF(OR(NOT(Tasks[[#This Row],[_IsLeaf]]=1),Tasks[[#This Row],[_IsMilestone]],N(Tasks[[#This Row],[Progress]])&gt;=1),0,IF(Tasks[[#This Row],[_DoneTo]]&gt;0,Tasks[[#This Row],[_DoneTo]]+1,Tasks[[#This Row],[Start]])))</f>
        <v>0</v>
      </c>
      <c r="GQ100" s="89" t="n">
        <f aca="false">IF(Tasks[[#This Row],[_RemFrom]]=0,0,Tasks[[#This Row],[Finish]])</f>
        <v>0</v>
      </c>
      <c r="GR100" s="88" t="b">
        <f aca="false">IF(Tasks[[#This Row],[Task Name]]="",FALSE(),OR(NOT(BaselineSet),N(Tasks[[#This Row],[Baseline Start]])&gt;0))</f>
        <v>0</v>
      </c>
      <c r="GS1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0" s="90" t="str">
        <f aca="false">IF(Tasks[[#This Row],[_IsLeaf]]=1,Tasks[[#This Row],[_Row]],"")</f>
        <v/>
      </c>
      <c r="GW100" s="90" t="str">
        <f aca="false">IFERROR(INDEX(Tasks[UID],SMALL(Tasks[_PickKey],Tasks[[#This Row],[_Row]]))&amp;" "&amp;INDEX(Tasks[Task Name],SMALL(Tasks[_PickKey],Tasks[[#This Row],[_Row]])),"")</f>
        <v/>
      </c>
      <c r="GX100" s="42" t="str">
        <f aca="false">IF(Tasks[[#This Row],[Task Name]]="","",IF(Tasks[[#This Row],[_IsSummary]],NETWORKDAYS.INTL(Tasks[[#This Row],[Start]],Tasks[[#This Row],[Finish]],WorkWeek,Holidays),N(Tasks[[#This Row],[_Days]])))</f>
        <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3"/>
      <c r="U101" s="23"/>
      <c r="V101" s="83"/>
      <c r="W101" s="23"/>
      <c r="X101" s="83"/>
      <c r="Y101" s="23"/>
      <c r="Z101" s="83"/>
      <c r="AA101" s="23"/>
      <c r="AB101" s="23"/>
      <c r="AC101" s="7"/>
      <c r="AD101" s="7"/>
      <c r="AE101" s="62" t="str">
        <f aca="false">IF(Tasks[[#This Row],[Task Name]]="","",IF(Tasks[[#This Row],[_IsSummary]],MIN(INDEX(Tasks[_ShownFcstStart],Tasks[[#This Row],[_Row]]+1):INDEX(Tasks[_ShownFcstStart],Tasks[[#This Row],[_Row]]+Tasks[[#This Row],[_Descendants]])),Tasks[[#This Row],[_ShownFcstStart]]))</f>
        <v/>
      </c>
      <c r="AF101" s="62"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1" s="7"/>
      <c r="AK101" s="22"/>
      <c r="AL101" s="23"/>
      <c r="AM101" s="7"/>
      <c r="AN101" s="46"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2" t="str">
        <f aca="false">IF(Tasks[[#This Row],[Task Name]]="","",IF(N(Tasks[[#This Row],[Baseline Start]])&gt;0,Tasks[[#This Row],[Baseline Start]],Tasks[[#This Row],[_CalcStart]]))</f>
        <v/>
      </c>
      <c r="AR101" s="62" t="str">
        <f aca="false">IF(Tasks[[#This Row],[Task Name]]="","",IF(N(Tasks[[#This Row],[Baseline Finish]])&gt;0,Tasks[[#This Row],[Baseline Finish]],Tasks[[#This Row],[_CalcFinish]]))</f>
        <v/>
      </c>
      <c r="AS101" s="46" t="str">
        <f aca="false">IF(Tasks[[#This Row],[Task Name]]="","",IF(Tasks[[#This Row],[Start]]&gt;=Tasks[[#This Row],[Planned Start]],NETWORKDAYS.INTL(Tasks[[#This Row],[Planned Start]],Tasks[[#This Row],[Start]],WorkWeek,Holidays)-1,1-NETWORKDAYS.INTL(Tasks[[#This Row],[Start]],Tasks[[#This Row],[Planned Start]],WorkWeek,Holidays)))</f>
        <v/>
      </c>
      <c r="AT101" s="62" t="str">
        <f aca="false">IF(Tasks[[#This Row],[Task Name]]="","",IF(Tasks[[#This Row],[_IsSummary]],MIN(INDEX(Tasks[_LeafLateStart],Tasks[[#This Row],[_Row]]+1):INDEX(Tasks[_LeafLateStart],Tasks[[#This Row],[_Row]]+Tasks[[#This Row],[_Descendants]])),Tasks[[#This Row],[_LeafLateStart]]))</f>
        <v/>
      </c>
      <c r="AU101" s="62" t="str">
        <f aca="false">IF(Tasks[[#This Row],[Task Name]]="","",IF(Tasks[[#This Row],[_IsSummary]],MAX(INDEX(Tasks[_LeafLateFinish],Tasks[[#This Row],[_Row]]+1):INDEX(Tasks[_LeafLateFinish],Tasks[[#This Row],[_Row]]+Tasks[[#This Row],[_Descendants]])),Tasks[[#This Row],[_LeafLateFinish]]))</f>
        <v/>
      </c>
      <c r="AV101" s="46"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4"/>
      <c r="BA1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5"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6"/>
      <c r="BJ101" s="22"/>
      <c r="BK101" s="46" t="str">
        <f aca="false">IF(OR(Tasks[[#This Row],[Task Name]]="",Tasks[[#This Row],[Baseline Duration]]=""),"",Tasks[[#This Row],[_SpanDays]]-N(Tasks[[#This Row],[Baseline Duration]]))</f>
        <v/>
      </c>
      <c r="BL101" s="85" t="str">
        <f aca="false">IF(OR(Tasks[[#This Row],[Task Name]]="",Tasks[[#This Row],[Baseline Work]]=""),"",Tasks[[#This Row],[Work]]-N(Tasks[[#This Row],[Baseline Work]]))</f>
        <v/>
      </c>
      <c r="BM101" s="62" t="str">
        <f aca="false">IF(Tasks[[#This Row],[Task Name]]="","",IF(OR(TakeBaseline="Yes",N(Tasks[[#This Row],[Baseline Start]])=0),Tasks[[#This Row],[Start]],Tasks[[#This Row],[Baseline Start]]))</f>
        <v/>
      </c>
      <c r="BN101" s="62"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5" t="str">
        <f aca="false">IF(Tasks[[#This Row],[Task Name]]="","",IF(OR(TakeBaseline="Yes",N(Tasks[[#This Row],[Baseline Work]])=0),Tasks[[#This Row],[Work]],Tasks[[#This Row],[Baseline Work]]))</f>
        <v/>
      </c>
      <c r="BQ101" s="7"/>
      <c r="BR101" s="7"/>
      <c r="BS101" s="22"/>
      <c r="BT101" s="87"/>
      <c r="BU101" s="42" t="str">
        <f aca="false">IF(Tasks[[#This Row],[Task Name]]="","",MAX(1,N(Tasks[[#This Row],[Level]])))</f>
        <v/>
      </c>
      <c r="BV101" s="42" t="n">
        <f aca="false">ROW()-ROW(Tasks[[#Headers],[ID]])</f>
        <v>96</v>
      </c>
      <c r="BW101" s="42" t="n">
        <f aca="false">IF(OR(Tasks[[#This Row],[Task Name]]="",Tasks[[#This Row],[_Level]]&lt;=1),0,IFERROR(LOOKUP(2,1/(Tasks[[#Headers],[_Level]]:Tasks[[#This Row],[_Level]]=Tasks[[#This Row],[_Level]]-1),ROW(Tasks[[#Headers],[_Level]]:Tasks[[#This Row],[_Level]])),0))</f>
        <v>0</v>
      </c>
      <c r="BX101" s="42" t="n">
        <f aca="false">IFERROR(N(INDEX(Tasks[_Level],Tasks[[#This Row],[_Row]]+1)),0)</f>
        <v>0</v>
      </c>
      <c r="BY101" s="88" t="b">
        <f aca="false">AND(Tasks[[#This Row],[Task Name]]&lt;&gt;"",Tasks[[#This Row],[_NextLevel]]&gt;Tasks[[#This Row],[_Level]])</f>
        <v>0</v>
      </c>
      <c r="BZ101" s="42" t="n">
        <f aca="false">IF(Tasks[[#This Row],[_IsSummary]],COUNTIF(Tasks[WBS],Tasks[[#This Row],[WBS]]&amp;".*"),0)</f>
        <v>0</v>
      </c>
      <c r="CA101" s="42" t="n">
        <f aca="false">IF(AND(Tasks[[#This Row],[Task Name]]&lt;&gt;"",NOT(Tasks[[#This Row],[_IsSummary]])),1,0)</f>
        <v>0</v>
      </c>
      <c r="CB101" s="42" t="n">
        <f aca="false">IF(N(Tasks[[#This Row],[_Pred1UID]])=0,0,IFERROR(MATCH(Tasks[[#This Row],[_Pred1UID]],Tasks[UID],0),-1))</f>
        <v>0</v>
      </c>
      <c r="CC101" s="42" t="n">
        <f aca="false">IF(N(Tasks[[#This Row],[_Pred2UID]])=0,0,IFERROR(MATCH(Tasks[[#This Row],[_Pred2UID]],Tasks[UID],0),-1))</f>
        <v>0</v>
      </c>
      <c r="CD101" s="42" t="n">
        <f aca="false">IF(N(Tasks[[#This Row],[_Pred3UID]])=0,0,IFERROR(MATCH(Tasks[[#This Row],[_Pred3UID]],Tasks[UID],0),-1))</f>
        <v>0</v>
      </c>
      <c r="CE101" s="42" t="n">
        <f aca="false">IF(N(Tasks[[#This Row],[_Pred4UID]])=0,0,IFERROR(MATCH(Tasks[[#This Row],[_Pred4UID]],Tasks[UID],0),-1))</f>
        <v>0</v>
      </c>
      <c r="CF1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1" s="89" t="n">
        <f aca="false">IF(OR(Tasks[[#This Row],[_ConstraintCode]]=2,Tasks[[#This Row],[_ConstraintCode]]=3,Tasks[[#This Row],[_ConstraintCode]]=4,Tasks[[#This Row],[_ConstraintCode]]=6),Tasks[[#This Row],[_ConstraintStart]],0)</f>
        <v>0</v>
      </c>
      <c r="CI101" s="89" t="n">
        <f aca="false">IF(OR(Tasks[[#This Row],[_ConstraintCode]]=2,Tasks[[#This Row],[_ConstraintCode]]=3,Tasks[[#This Row],[_ConstraintCode]]=5,Tasks[[#This Row],[_ConstraintCode]]=7),Tasks[[#This Row],[_ConstraintStart]],2958465)</f>
        <v>2958465</v>
      </c>
      <c r="CJ1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1" s="89" t="str">
        <f aca="false">IF(NOT(Tasks[[#This Row],[_IsLeaf]]=1),"",IF(N(Tasks[[#This Row],[_Days]])&lt;=0,Tasks[[#This Row],[_LeafCalcStart]],WORKDAY.INTL(Tasks[[#This Row],[_LeafCalcStart]],Tasks[[#This Row],[_Days]]-1,WorkWeek,Holidays)))</f>
        <v/>
      </c>
      <c r="CL1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1" s="42" t="str">
        <f aca="false">IF(Tasks[[#This Row],[_Predecessors]]="","",TRIM(MID(SUBSTITUTE(SUBSTITUTE(SUBSTITUTE(UPPER(Tasks[[#This Row],[_Predecessors]]),";",",")," ",""),",",REPT(" ",99)),1,99)))</f>
        <v/>
      </c>
      <c r="CO101" s="42" t="str">
        <f aca="false">IF(Tasks[[#This Row],[_Pred1Text]]="","",IFERROR(VALUE(LEFT(Tasks[[#This Row],[_Pred1Text]],MIN(FIND("F",Tasks[[#This Row],[_Pred1Text]]&amp;"F"),FIND("S",Tasks[[#This Row],[_Pred1Text]]&amp;"S"),FIND("+",Tasks[[#This Row],[_Pred1Text]]&amp;"+"),FIND("-",Tasks[[#This Row],[_Pred1Text]]&amp;"-"))-1)),""))</f>
        <v/>
      </c>
      <c r="CP1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1" s="42" t="str">
        <f aca="false">IF(Tasks[[#This Row],[_Pred1Text]]="","",TRIM(MID(SUBSTITUTE(SUBSTITUTE(SUBSTITUTE(UPPER(Tasks[[#This Row],[_Predecessors]]),";",",")," ",""),",",REPT(" ",99)),100,99)))</f>
        <v/>
      </c>
      <c r="CS101" s="42" t="str">
        <f aca="false">IF(Tasks[[#This Row],[_Pred2Text]]="","",IFERROR(VALUE(LEFT(Tasks[[#This Row],[_Pred2Text]],MIN(FIND("F",Tasks[[#This Row],[_Pred2Text]]&amp;"F"),FIND("S",Tasks[[#This Row],[_Pred2Text]]&amp;"S"),FIND("+",Tasks[[#This Row],[_Pred2Text]]&amp;"+"),FIND("-",Tasks[[#This Row],[_Pred2Text]]&amp;"-"))-1)),""))</f>
        <v/>
      </c>
      <c r="CT1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1" s="42" t="str">
        <f aca="false">IF(Tasks[[#This Row],[_Pred2Text]]="","",TRIM(MID(SUBSTITUTE(SUBSTITUTE(SUBSTITUTE(UPPER(Tasks[[#This Row],[_Predecessors]]),";",",")," ",""),",",REPT(" ",99)),199,99)))</f>
        <v/>
      </c>
      <c r="CW101" s="42" t="str">
        <f aca="false">IF(Tasks[[#This Row],[_Pred3Text]]="","",IFERROR(VALUE(LEFT(Tasks[[#This Row],[_Pred3Text]],MIN(FIND("F",Tasks[[#This Row],[_Pred3Text]]&amp;"F"),FIND("S",Tasks[[#This Row],[_Pred3Text]]&amp;"S"),FIND("+",Tasks[[#This Row],[_Pred3Text]]&amp;"+"),FIND("-",Tasks[[#This Row],[_Pred3Text]]&amp;"-"))-1)),""))</f>
        <v/>
      </c>
      <c r="CX1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1" s="42" t="str">
        <f aca="false">IF(Tasks[[#This Row],[_Pred3Text]]="","",TRIM(MID(SUBSTITUTE(SUBSTITUTE(SUBSTITUTE(UPPER(Tasks[[#This Row],[_Predecessors]]),";",",")," ",""),",",REPT(" ",99)),298,99)))</f>
        <v/>
      </c>
      <c r="DA101" s="42" t="str">
        <f aca="false">IF(Tasks[[#This Row],[_Pred4Text]]="","",IFERROR(VALUE(LEFT(Tasks[[#This Row],[_Pred4Text]],MIN(FIND("F",Tasks[[#This Row],[_Pred4Text]]&amp;"F"),FIND("S",Tasks[[#This Row],[_Pred4Text]]&amp;"S"),FIND("+",Tasks[[#This Row],[_Pred4Text]]&amp;"+"),FIND("-",Tasks[[#This Row],[_Pred4Text]]&amp;"-"))-1)),""))</f>
        <v/>
      </c>
      <c r="DB1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1" s="42" t="str">
        <f aca="false">IF(OR(Tasks[[#This Row],[Task Name]]="",Tasks[[#This Row],[_Resources]]=""),"",TRIM(MID(SUBSTITUTE(Tasks[[#This Row],[_Resources]],",",REPT(" ",99)),1,99)))</f>
        <v/>
      </c>
      <c r="DE101" s="42" t="str">
        <f aca="false">IF(Tasks[[#This Row],[_Res1Text]]="","",TRIM(MID(SUBSTITUTE(Tasks[[#This Row],[_Resources]],",",REPT(" ",99)),100,99)))</f>
        <v/>
      </c>
      <c r="DF101" s="42" t="str">
        <f aca="false">IF(Tasks[[#This Row],[_Res2Text]]="","",TRIM(MID(SUBSTITUTE(Tasks[[#This Row],[_Resources]],",",REPT(" ",99)),199,99)))</f>
        <v/>
      </c>
      <c r="DG101" s="42" t="str">
        <f aca="false">IF(Tasks[[#This Row],[_Res3Text]]="","",TRIM(MID(SUBSTITUTE(Tasks[[#This Row],[_Resources]],",",REPT(" ",99)),298,99)))</f>
        <v/>
      </c>
      <c r="DH101" s="42" t="n">
        <f aca="false">IF(Tasks[[#This Row],[_Res1Text]]="",0,IFERROR(MATCH(TRIM(LEFT(Tasks[[#This Row],[_Res1Text]],FIND("[",Tasks[[#This Row],[_Res1Text]]&amp;"[")-1)),res_Name,0),IFERROR(MATCH(TRIM(LEFT(Tasks[[#This Row],[_Res1Text]],FIND("[",Tasks[[#This Row],[_Res1Text]]&amp;"[")-1)),res_Initials,0),0)))</f>
        <v>0</v>
      </c>
      <c r="DI101" s="42" t="n">
        <f aca="false">IF(Tasks[[#This Row],[_Res2Text]]="",0,IFERROR(MATCH(TRIM(LEFT(Tasks[[#This Row],[_Res2Text]],FIND("[",Tasks[[#This Row],[_Res2Text]]&amp;"[")-1)),res_Name,0),IFERROR(MATCH(TRIM(LEFT(Tasks[[#This Row],[_Res2Text]],FIND("[",Tasks[[#This Row],[_Res2Text]]&amp;"[")-1)),res_Initials,0),0)))</f>
        <v>0</v>
      </c>
      <c r="DJ101" s="42" t="n">
        <f aca="false">IF(Tasks[[#This Row],[_Res3Text]]="",0,IFERROR(MATCH(TRIM(LEFT(Tasks[[#This Row],[_Res3Text]],FIND("[",Tasks[[#This Row],[_Res3Text]]&amp;"[")-1)),res_Name,0),IFERROR(MATCH(TRIM(LEFT(Tasks[[#This Row],[_Res3Text]],FIND("[",Tasks[[#This Row],[_Res3Text]]&amp;"[")-1)),res_Initials,0),0)))</f>
        <v>0</v>
      </c>
      <c r="DK101" s="42" t="n">
        <f aca="false">IF(Tasks[[#This Row],[_Res4Text]]="",0,IFERROR(MATCH(TRIM(LEFT(Tasks[[#This Row],[_Res4Text]],FIND("[",Tasks[[#This Row],[_Res4Text]]&amp;"[")-1)),res_Name,0),IFERROR(MATCH(TRIM(LEFT(Tasks[[#This Row],[_Res4Text]],FIND("[",Tasks[[#This Row],[_Res4Text]]&amp;"[")-1)),res_Initials,0),0)))</f>
        <v>0</v>
      </c>
      <c r="DL101" s="42" t="str">
        <f aca="false">IF(Tasks[[#This Row],[_Res1Text]]="","",IF(Tasks[[#This Row],[_Res1Row]]&gt;0,INDEX(res_Name,Tasks[[#This Row],[_Res1Row]]),TRIM(LEFT(Tasks[[#This Row],[_Res1Text]],FIND("[",Tasks[[#This Row],[_Res1Text]]&amp;"[")-1))))</f>
        <v/>
      </c>
      <c r="DM1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1" s="42" t="n">
        <f aca="false">IF(NOT(Tasks[[#This Row],[_IsLeaf]]=1),0,(Tasks[[#This Row],[_Resource1]]&lt;&gt;"")+(Tasks[[#This Row],[_Res2]]&lt;&gt;"")+(Tasks[[#This Row],[_Res3]]&lt;&gt;"")+(Tasks[[#This Row],[_Res4]]&lt;&gt;""))</f>
        <v>0</v>
      </c>
      <c r="DO101" s="42" t="str">
        <f aca="false">IF(Tasks[[#This Row],[_Res2Text]]="","",IF(Tasks[[#This Row],[_Res2Row]]&gt;0,INDEX(res_Name,Tasks[[#This Row],[_Res2Row]]),TRIM(LEFT(Tasks[[#This Row],[_Res2Text]],FIND("[",Tasks[[#This Row],[_Res2Text]]&amp;"[")-1))))</f>
        <v/>
      </c>
      <c r="DP1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1" s="42" t="n">
        <f aca="false">IF(OR(NOT(Tasks[[#This Row],[_IsLeaf]]=1),Tasks[[#This Row],[_Res2Row]]=0),0,N(Tasks[[#This Row],[_Days]])*HoursPerDay*IF(Tasks[[#This Row],[_Res2Units]]="",DefaultUnits,Tasks[[#This Row],[_Res2Units]]))</f>
        <v>0</v>
      </c>
      <c r="DR101" s="42" t="n">
        <f aca="false">IF(AND(AND(Tasks[[#This Row],[_IsLeaf]]=1,Tasks[[#This Row],[_LeafTotalWork]]&gt;0),Tasks[[#This Row],[_Res2Work]]&gt;0),Tasks[[#This Row],[_Res2Work]]/(Tasks[[#This Row],[_FinishWorkday]]-Tasks[[#This Row],[_StartWorkday]]+1),0)</f>
        <v>0</v>
      </c>
      <c r="DS101" s="42" t="n">
        <f aca="false">Tasks[[#This Row],[_Res2WorkPerWD]]*MAX(0,Tasks[[#This Row],[_StartWorkday]]-1)</f>
        <v>0</v>
      </c>
      <c r="DT101" s="42" t="n">
        <f aca="false">Tasks[[#This Row],[_Res2Work]]*Tasks[[#This Row],[_LeafProgress]]</f>
        <v>0</v>
      </c>
      <c r="DU101" s="42" t="str">
        <f aca="false">IF(Tasks[[#This Row],[_Res3Text]]="","",IF(Tasks[[#This Row],[_Res3Row]]&gt;0,INDEX(res_Name,Tasks[[#This Row],[_Res3Row]]),TRIM(LEFT(Tasks[[#This Row],[_Res3Text]],FIND("[",Tasks[[#This Row],[_Res3Text]]&amp;"[")-1))))</f>
        <v/>
      </c>
      <c r="DV1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1" s="42" t="n">
        <f aca="false">IF(OR(NOT(Tasks[[#This Row],[_IsLeaf]]=1),Tasks[[#This Row],[_Res3Row]]=0),0,N(Tasks[[#This Row],[_Days]])*HoursPerDay*IF(Tasks[[#This Row],[_Res3Units]]="",DefaultUnits,Tasks[[#This Row],[_Res3Units]]))</f>
        <v>0</v>
      </c>
      <c r="DX101" s="42" t="n">
        <f aca="false">IF(AND(AND(Tasks[[#This Row],[_IsLeaf]]=1,Tasks[[#This Row],[_LeafTotalWork]]&gt;0),Tasks[[#This Row],[_Res3Work]]&gt;0),Tasks[[#This Row],[_Res3Work]]/(Tasks[[#This Row],[_FinishWorkday]]-Tasks[[#This Row],[_StartWorkday]]+1),0)</f>
        <v>0</v>
      </c>
      <c r="DY101" s="42" t="n">
        <f aca="false">Tasks[[#This Row],[_Res3WorkPerWD]]*MAX(0,Tasks[[#This Row],[_StartWorkday]]-1)</f>
        <v>0</v>
      </c>
      <c r="DZ101" s="42" t="n">
        <f aca="false">Tasks[[#This Row],[_Res3Work]]*Tasks[[#This Row],[_LeafProgress]]</f>
        <v>0</v>
      </c>
      <c r="EA101" s="42" t="str">
        <f aca="false">IF(Tasks[[#This Row],[_Res4Text]]="","",IF(Tasks[[#This Row],[_Res4Row]]&gt;0,INDEX(res_Name,Tasks[[#This Row],[_Res4Row]]),TRIM(LEFT(Tasks[[#This Row],[_Res4Text]],FIND("[",Tasks[[#This Row],[_Res4Text]]&amp;"[")-1))))</f>
        <v/>
      </c>
      <c r="EB1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1" s="42" t="n">
        <f aca="false">IF(OR(NOT(Tasks[[#This Row],[_IsLeaf]]=1),Tasks[[#This Row],[_Res4Row]]=0),0,N(Tasks[[#This Row],[_Days]])*HoursPerDay*IF(Tasks[[#This Row],[_Res4Units]]="",DefaultUnits,Tasks[[#This Row],[_Res4Units]]))</f>
        <v>0</v>
      </c>
      <c r="ED101" s="42" t="n">
        <f aca="false">IF(AND(AND(Tasks[[#This Row],[_IsLeaf]]=1,Tasks[[#This Row],[_LeafTotalWork]]&gt;0),Tasks[[#This Row],[_Res4Work]]&gt;0),Tasks[[#This Row],[_Res4Work]]/(Tasks[[#This Row],[_FinishWorkday]]-Tasks[[#This Row],[_StartWorkday]]+1),0)</f>
        <v>0</v>
      </c>
      <c r="EE101" s="42" t="n">
        <f aca="false">Tasks[[#This Row],[_Res4WorkPerWD]]*MAX(0,Tasks[[#This Row],[_StartWorkday]]-1)</f>
        <v>0</v>
      </c>
      <c r="EF101" s="42" t="n">
        <f aca="false">Tasks[[#This Row],[_Res4Work]]*Tasks[[#This Row],[_LeafProgress]]</f>
        <v>0</v>
      </c>
      <c r="EG101" s="42" t="n">
        <f aca="false">IF(ISNUMBER(Tasks[[#This Row],[% Complete]]),Tasks[[#This Row],[% Complete]],IF(Tasks[[#This Row],[Stage]]="",0,IFERROR(INDEX(stg_Pct,MATCH(Tasks[[#This Row],[Stage]],stg_Name,0)),0)))</f>
        <v>0</v>
      </c>
      <c r="EH101" s="42" t="n">
        <f aca="false">IF(NOT(Tasks[[#This Row],[_IsLeaf]]=1),0,IF(N(Tasks[[#This Row],[Actual Finish]])&gt;0,1,MIN(1,Tasks[[#This Row],[_Pct]])))</f>
        <v>0</v>
      </c>
      <c r="EI101" s="42" t="n">
        <f aca="false">IF(OR(NOT(Tasks[[#This Row],[_IsLeaf]]=1),Tasks[[#This Row],[_Res1Row]]=0),0,N(Tasks[[#This Row],[_Days]])*HoursPerDay*IF(Tasks[[#This Row],[_Units1]]="",DefaultUnits,Tasks[[#This Row],[_Units1]]))</f>
        <v>0</v>
      </c>
      <c r="EJ101" s="42" t="n">
        <f aca="false">Tasks[[#This Row],[_LeafWork]]+Tasks[[#This Row],[_Res2Work]]+Tasks[[#This Row],[_Res3Work]]+Tasks[[#This Row],[_Res4Work]]</f>
        <v>0</v>
      </c>
      <c r="EK1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1" s="42" t="n">
        <f aca="false">IF(NOT(Tasks[[#This Row],[_IsLeaf]]=1),0,MAX(_xlfn.MAXIFS(Tasks[_Row],Tasks[_Pred1UID],Tasks[[#This Row],[UID]]),_xlfn.MAXIFS(Tasks[_Row],Tasks[_Pred2UID],Tasks[[#This Row],[UID]]),_xlfn.MAXIFS(Tasks[_Row],Tasks[_Pred3UID],Tasks[[#This Row],[UID]]),_xlfn.MAXIFS(Tasks[_Row],Tasks[_Pred4UID],Tasks[[#This Row],[UID]])))</f>
        <v>0</v>
      </c>
      <c r="ET1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1" s="89" t="str">
        <f aca="false">IF(NOT(Tasks[[#This Row],[_IsLeaf]]=1),"",IF(N(Tasks[[#This Row],[_Days]])&lt;=0,Tasks[[#This Row],[_LeafLateFinish]],WORKDAY.INTL(Tasks[[#This Row],[_LeafLateFinish]],-(Tasks[[#This Row],[_Days]]-1),WorkWeek,Holidays)))</f>
        <v/>
      </c>
      <c r="EW1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1" s="88" t="b">
        <f aca="false">AND(Tasks[[#This Row],[_IsLeaf]]=1,Tasks[[#This Row],[_LeafProgress]]&lt;1,N(Tasks[[#This Row],[_LeafTotalSlack]])&lt;=CriticalSlackDays)</f>
        <v>0</v>
      </c>
      <c r="EY101" s="42" t="n">
        <f aca="false">IF(AND(Tasks[[#This Row],[_IsLeaf]]=1,Tasks[[#This Row],[_ConstraintCode]]=1,Tasks[[#This Row],[Mode]]&lt;&gt;"Manual",N(Tasks[[#This Row],[Actual Start]])=0),MAX(0,N(Tasks[[#This Row],[Free Slack]])),0)</f>
        <v>0</v>
      </c>
      <c r="EZ101" s="89" t="str">
        <f aca="false">IF(NOT(Tasks[[#This Row],[_IsLeaf]]=1),"",IF(Tasks[[#This Row],[_AlapShift]]=0,Tasks[[#This Row],[_LeafCalcStart]],WORKDAY.INTL(Tasks[[#This Row],[_LeafCalcStart]],Tasks[[#This Row],[_AlapShift]],WorkWeek,Holidays)))</f>
        <v/>
      </c>
      <c r="FA101" s="89" t="str">
        <f aca="false">IF(NOT(Tasks[[#This Row],[_IsLeaf]]=1),"",IF(Tasks[[#This Row],[_AlapShift]]=0,Tasks[[#This Row],[_LeafCalcFinish]],WORKDAY.INTL(Tasks[[#This Row],[_LeafCalcFinish]],Tasks[[#This Row],[_AlapShift]],WorkWeek,Holidays)))</f>
        <v/>
      </c>
      <c r="FB101" s="89" t="str">
        <f aca="false">IF(NOT(Tasks[[#This Row],[_IsLeaf]]=1),"",IF(Tasks[[#This Row],[_AlapShift]]=0,Tasks[[#This Row],[_LeafFcstStart]],WORKDAY.INTL(Tasks[[#This Row],[_LeafFcstStart]],Tasks[[#This Row],[_AlapShift]],WorkWeek,Holidays)))</f>
        <v/>
      </c>
      <c r="FC101" s="89" t="str">
        <f aca="false">IF(NOT(Tasks[[#This Row],[_IsLeaf]]=1),"",IF(Tasks[[#This Row],[_AlapShift]]=0,Tasks[[#This Row],[_LeafFcstFinish]],WORKDAY.INTL(Tasks[[#This Row],[_LeafFcstFinish]],Tasks[[#This Row],[_AlapShift]],WorkWeek,Holidays)))</f>
        <v/>
      </c>
      <c r="FD101" s="89" t="str">
        <f aca="false">IF(Tasks[[#This Row],[Task Name]]="","",IF(Tasks[[#This Row],[_IsSummary]],MIN(INDEX(Tasks[_ShownCalcStart],Tasks[[#This Row],[_Row]]+1):INDEX(Tasks[_ShownCalcStart],Tasks[[#This Row],[_Row]]+Tasks[[#This Row],[_Descendants]])),Tasks[[#This Row],[_ShownCalcStart]]))</f>
        <v/>
      </c>
      <c r="FE101" s="89" t="str">
        <f aca="false">IF(Tasks[[#This Row],[Task Name]]="","",IF(Tasks[[#This Row],[_IsSummary]],MAX(INDEX(Tasks[_ShownCalcFinish],Tasks[[#This Row],[_Row]]+1):INDEX(Tasks[_ShownCalcFinish],Tasks[[#This Row],[_Row]]+Tasks[[#This Row],[_Descendants]])),Tasks[[#This Row],[_ShownCalcFinish]]))</f>
        <v/>
      </c>
      <c r="FF1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1" s="42" t="n">
        <f aca="false">IF(AND(Tasks[[#This Row],[_IsLeaf]]=1,Tasks[[#This Row],[_LeafTotalWork]]&gt;0),NETWORKDAYS.INTL(ProjectStart,Tasks[[#This Row],[_ShownFcstStart]],WorkWeek,Holidays),0)</f>
        <v>0</v>
      </c>
      <c r="FS101" s="42" t="n">
        <f aca="false">IF(AND(Tasks[[#This Row],[_IsLeaf]]=1,Tasks[[#This Row],[_LeafTotalWork]]&gt;0),MAX(Tasks[[#This Row],[_StartWorkday]],NETWORKDAYS.INTL(ProjectStart,Tasks[[#This Row],[_ShownFcstFinish]],WorkWeek,Holidays)),0)</f>
        <v>0</v>
      </c>
      <c r="FT101" s="42" t="n">
        <f aca="false">IF(AND(Tasks[[#This Row],[_IsLeaf]]=1,Tasks[[#This Row],[_LeafTotalWork]]&gt;0),Tasks[[#This Row],[_LeafWork]]/(Tasks[[#This Row],[_FinishWorkday]]-Tasks[[#This Row],[_StartWorkday]]+1),0)</f>
        <v>0</v>
      </c>
      <c r="FU101" s="42" t="n">
        <f aca="false">Tasks[[#This Row],[_WorkPerWorkday]]*(Tasks[[#This Row],[_StartWorkday]]-1)</f>
        <v>-0</v>
      </c>
      <c r="FV101" s="42" t="n">
        <f aca="false">IF(Tasks[[#This Row],[_IsLeaf]]=1,MAX(N(Tasks[[#This Row],[_Days]]),0.1),0)</f>
        <v>0</v>
      </c>
      <c r="FW101" s="42" t="n">
        <f aca="false">Tasks[[#This Row],[_WeightDur]]*Tasks[[#This Row],[_LeafProgress]]</f>
        <v>0</v>
      </c>
      <c r="FX101" s="42" t="n">
        <f aca="false">Tasks[[#This Row],[_WeightDur]]*Tasks[[#This Row],[_PlannedPct]]</f>
        <v>0</v>
      </c>
      <c r="FY1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1" s="42" t="str">
        <f aca="false">IF(AND(Tasks[[#This Row],[_IsLeaf]]=1,N(Tasks[[#This Row],[_Days]])=0,Tasks[[#This Row],[_LeafProgress]]&lt;1),Tasks[[#This Row],[_ShownFcstFinish]]+Tasks[[#This Row],[_Row]]/100000,"")</f>
        <v/>
      </c>
      <c r="GA1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1" s="42" t="str">
        <f aca="false">IF(Tasks[[#This Row],[Task Name]]="","",LEFT(Tasks[[#This Row],[WBS]],FIND(".",Tasks[[#This Row],[WBS]]&amp;".")-1))</f>
        <v/>
      </c>
      <c r="GC101" s="42" t="str">
        <f aca="false">IF(AND(Tasks[[#This Row],[Task Name]]&lt;&gt;"",Tasks[[#This Row],[_Level]]=1),Tasks[[#This Row],[_Row]],"")</f>
        <v/>
      </c>
      <c r="GD101" s="42" t="str">
        <f aca="false">IF(AND(Tasks[[#This Row],[_IsLeaf]]=1,N(Tasks[[#This Row],[_Days]])=0),Tasks[[#This Row],[Planned Finish]]+Tasks[[#This Row],[_Row]]/100000,"")</f>
        <v/>
      </c>
      <c r="GE101" s="42" t="str">
        <f aca="false">IF(AND(Tasks[[#This Row],[_IsLeaf]]=1,Tasks[[#This Row],[_LeafProgress]]&lt;1,OR(N(Tasks[[#This Row],[Finish Var]])&gt;0,Tasks[[#This Row],[Status]]="Late Start")),MAX(0,Tasks[[#This Row],[Finish Var]])+1-Tasks[[#This Row],[_Row]]/1000000,"")</f>
        <v/>
      </c>
      <c r="GF101" s="42" t="str">
        <f aca="false">IF(AND(Tasks[[#This Row],[_IsLeaf]]=1,N(Tasks[[#This Row],[Actual Start]])=0,Tasks[[#This Row],[_ShownFcstStart]]&gt;=StatusDate,Tasks[[#This Row],[_ShownFcstStart]]&lt;=LookaheadEnd),Tasks[[#This Row],[_ShownFcstStart]]+Tasks[[#This Row],[_Row]]/100000,"")</f>
        <v/>
      </c>
      <c r="GG101" s="42" t="str">
        <f aca="false">IF(AND(Tasks[[#This Row],[_IsLeaf]]=1,Tasks[[#This Row],[_LeafProgress]]&lt;1,Tasks[[#This Row],[_ShownFcstFinish]]&gt;=StatusDate,Tasks[[#This Row],[_ShownFcstFinish]]&lt;=LookaheadEnd),Tasks[[#This Row],[_ShownFcstFinish]]+Tasks[[#This Row],[_Row]]/100000,"")</f>
        <v/>
      </c>
      <c r="GH101" s="42" t="str">
        <f aca="false">IF(Tasks[[#This Row],[_LeafCritical]],Tasks[[#This Row],[_ShownFcstStart]]+Tasks[[#This Row],[_Row]]/100000,"")</f>
        <v/>
      </c>
      <c r="GI101" s="42" t="n">
        <f aca="false">Tasks[[#This Row],[_LeafWork]]*Tasks[[#This Row],[_LeafProgress]]</f>
        <v>0</v>
      </c>
      <c r="GJ101" s="89" t="str">
        <f aca="false">IF(AND(Tasks[[#This Row],[_IsLeaf]]=1,Tasks[[#This Row],[_LeafProgress]]&gt;=1),IF(N(Tasks[[#This Row],[Actual Finish]])&gt;0,Tasks[[#This Row],[Actual Finish]],Tasks[[#This Row],[_ShownFcstFinish]]),"")</f>
        <v/>
      </c>
      <c r="GK101" s="42" t="n">
        <f aca="false">IF(Tasks[[#This Row],[_IsLeaf]]=1,N(Tasks[[#This Row],[Story Points]]),0)</f>
        <v>0</v>
      </c>
      <c r="GL101" s="42" t="str">
        <f aca="false">""</f>
        <v/>
      </c>
      <c r="GM101" s="88" t="b">
        <f aca="false">IF(Tasks[[#This Row],[Task Name]]="",FALSE(),AND(Tasks[[#This Row],[_IsLeaf]]=1,N(Tasks[[#This Row],[_Days]])=0))</f>
        <v>0</v>
      </c>
      <c r="GN101" s="89" t="n">
        <f aca="false">IF(Tasks[[#This Row],[Task Name]]="",0,IF(AND(Tasks[[#This Row],[_IsLeaf]]=1,NOT(Tasks[[#This Row],[_IsMilestone]]),N(Tasks[[#This Row],[Progress]])&gt;0),Tasks[[#This Row],[Start]],0))</f>
        <v>0</v>
      </c>
      <c r="GO101" s="89" t="n">
        <f aca="false">IF(Tasks[[#This Row],[_DoneFrom]]=0,0,IF(Tasks[[#This Row],[Progress]]&gt;=1,Tasks[[#This Row],[Finish]],MAX(Tasks[[#This Row],[_DoneFrom]],Tasks[[#This Row],[Start]]+ROUND((Tasks[[#This Row],[Finish]]-Tasks[[#This Row],[Start]]+1)*Tasks[[#This Row],[Progress]],0)-1)))</f>
        <v>0</v>
      </c>
      <c r="GP101" s="89" t="n">
        <f aca="false">IF(Tasks[[#This Row],[Task Name]]="",0,IF(OR(NOT(Tasks[[#This Row],[_IsLeaf]]=1),Tasks[[#This Row],[_IsMilestone]],N(Tasks[[#This Row],[Progress]])&gt;=1),0,IF(Tasks[[#This Row],[_DoneTo]]&gt;0,Tasks[[#This Row],[_DoneTo]]+1,Tasks[[#This Row],[Start]])))</f>
        <v>0</v>
      </c>
      <c r="GQ101" s="89" t="n">
        <f aca="false">IF(Tasks[[#This Row],[_RemFrom]]=0,0,Tasks[[#This Row],[Finish]])</f>
        <v>0</v>
      </c>
      <c r="GR101" s="88" t="b">
        <f aca="false">IF(Tasks[[#This Row],[Task Name]]="",FALSE(),OR(NOT(BaselineSet),N(Tasks[[#This Row],[Baseline Start]])&gt;0))</f>
        <v>0</v>
      </c>
      <c r="GS1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1" s="90" t="str">
        <f aca="false">IF(Tasks[[#This Row],[_IsLeaf]]=1,Tasks[[#This Row],[_Row]],"")</f>
        <v/>
      </c>
      <c r="GW101" s="90" t="str">
        <f aca="false">IFERROR(INDEX(Tasks[UID],SMALL(Tasks[_PickKey],Tasks[[#This Row],[_Row]]))&amp;" "&amp;INDEX(Tasks[Task Name],SMALL(Tasks[_PickKey],Tasks[[#This Row],[_Row]])),"")</f>
        <v/>
      </c>
      <c r="GX101" s="42" t="str">
        <f aca="false">IF(Tasks[[#This Row],[Task Name]]="","",IF(Tasks[[#This Row],[_IsSummary]],NETWORKDAYS.INTL(Tasks[[#This Row],[Start]],Tasks[[#This Row],[Finish]],WorkWeek,Holidays),N(Tasks[[#This Row],[_Days]])))</f>
        <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3"/>
      <c r="U102" s="23"/>
      <c r="V102" s="83"/>
      <c r="W102" s="23"/>
      <c r="X102" s="83"/>
      <c r="Y102" s="23"/>
      <c r="Z102" s="83"/>
      <c r="AA102" s="23"/>
      <c r="AB102" s="23"/>
      <c r="AC102" s="7"/>
      <c r="AD102" s="7"/>
      <c r="AE102" s="62" t="str">
        <f aca="false">IF(Tasks[[#This Row],[Task Name]]="","",IF(Tasks[[#This Row],[_IsSummary]],MIN(INDEX(Tasks[_ShownFcstStart],Tasks[[#This Row],[_Row]]+1):INDEX(Tasks[_ShownFcstStart],Tasks[[#This Row],[_Row]]+Tasks[[#This Row],[_Descendants]])),Tasks[[#This Row],[_ShownFcstStart]]))</f>
        <v/>
      </c>
      <c r="AF102" s="62"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2" s="7"/>
      <c r="AK102" s="22"/>
      <c r="AL102" s="23"/>
      <c r="AM102" s="7"/>
      <c r="AN102" s="46"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2" t="str">
        <f aca="false">IF(Tasks[[#This Row],[Task Name]]="","",IF(N(Tasks[[#This Row],[Baseline Start]])&gt;0,Tasks[[#This Row],[Baseline Start]],Tasks[[#This Row],[_CalcStart]]))</f>
        <v/>
      </c>
      <c r="AR102" s="62" t="str">
        <f aca="false">IF(Tasks[[#This Row],[Task Name]]="","",IF(N(Tasks[[#This Row],[Baseline Finish]])&gt;0,Tasks[[#This Row],[Baseline Finish]],Tasks[[#This Row],[_CalcFinish]]))</f>
        <v/>
      </c>
      <c r="AS102" s="46" t="str">
        <f aca="false">IF(Tasks[[#This Row],[Task Name]]="","",IF(Tasks[[#This Row],[Start]]&gt;=Tasks[[#This Row],[Planned Start]],NETWORKDAYS.INTL(Tasks[[#This Row],[Planned Start]],Tasks[[#This Row],[Start]],WorkWeek,Holidays)-1,1-NETWORKDAYS.INTL(Tasks[[#This Row],[Start]],Tasks[[#This Row],[Planned Start]],WorkWeek,Holidays)))</f>
        <v/>
      </c>
      <c r="AT102" s="62" t="str">
        <f aca="false">IF(Tasks[[#This Row],[Task Name]]="","",IF(Tasks[[#This Row],[_IsSummary]],MIN(INDEX(Tasks[_LeafLateStart],Tasks[[#This Row],[_Row]]+1):INDEX(Tasks[_LeafLateStart],Tasks[[#This Row],[_Row]]+Tasks[[#This Row],[_Descendants]])),Tasks[[#This Row],[_LeafLateStart]]))</f>
        <v/>
      </c>
      <c r="AU102" s="62" t="str">
        <f aca="false">IF(Tasks[[#This Row],[Task Name]]="","",IF(Tasks[[#This Row],[_IsSummary]],MAX(INDEX(Tasks[_LeafLateFinish],Tasks[[#This Row],[_Row]]+1):INDEX(Tasks[_LeafLateFinish],Tasks[[#This Row],[_Row]]+Tasks[[#This Row],[_Descendants]])),Tasks[[#This Row],[_LeafLateFinish]]))</f>
        <v/>
      </c>
      <c r="AV102" s="46"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4"/>
      <c r="BA1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5"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6"/>
      <c r="BJ102" s="22"/>
      <c r="BK102" s="46" t="str">
        <f aca="false">IF(OR(Tasks[[#This Row],[Task Name]]="",Tasks[[#This Row],[Baseline Duration]]=""),"",Tasks[[#This Row],[_SpanDays]]-N(Tasks[[#This Row],[Baseline Duration]]))</f>
        <v/>
      </c>
      <c r="BL102" s="85" t="str">
        <f aca="false">IF(OR(Tasks[[#This Row],[Task Name]]="",Tasks[[#This Row],[Baseline Work]]=""),"",Tasks[[#This Row],[Work]]-N(Tasks[[#This Row],[Baseline Work]]))</f>
        <v/>
      </c>
      <c r="BM102" s="62" t="str">
        <f aca="false">IF(Tasks[[#This Row],[Task Name]]="","",IF(OR(TakeBaseline="Yes",N(Tasks[[#This Row],[Baseline Start]])=0),Tasks[[#This Row],[Start]],Tasks[[#This Row],[Baseline Start]]))</f>
        <v/>
      </c>
      <c r="BN102" s="62"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5" t="str">
        <f aca="false">IF(Tasks[[#This Row],[Task Name]]="","",IF(OR(TakeBaseline="Yes",N(Tasks[[#This Row],[Baseline Work]])=0),Tasks[[#This Row],[Work]],Tasks[[#This Row],[Baseline Work]]))</f>
        <v/>
      </c>
      <c r="BQ102" s="7"/>
      <c r="BR102" s="7"/>
      <c r="BS102" s="22"/>
      <c r="BT102" s="87"/>
      <c r="BU102" s="42" t="str">
        <f aca="false">IF(Tasks[[#This Row],[Task Name]]="","",MAX(1,N(Tasks[[#This Row],[Level]])))</f>
        <v/>
      </c>
      <c r="BV102" s="42" t="n">
        <f aca="false">ROW()-ROW(Tasks[[#Headers],[ID]])</f>
        <v>97</v>
      </c>
      <c r="BW102" s="42" t="n">
        <f aca="false">IF(OR(Tasks[[#This Row],[Task Name]]="",Tasks[[#This Row],[_Level]]&lt;=1),0,IFERROR(LOOKUP(2,1/(Tasks[[#Headers],[_Level]]:Tasks[[#This Row],[_Level]]=Tasks[[#This Row],[_Level]]-1),ROW(Tasks[[#Headers],[_Level]]:Tasks[[#This Row],[_Level]])),0))</f>
        <v>0</v>
      </c>
      <c r="BX102" s="42" t="n">
        <f aca="false">IFERROR(N(INDEX(Tasks[_Level],Tasks[[#This Row],[_Row]]+1)),0)</f>
        <v>0</v>
      </c>
      <c r="BY102" s="88" t="b">
        <f aca="false">AND(Tasks[[#This Row],[Task Name]]&lt;&gt;"",Tasks[[#This Row],[_NextLevel]]&gt;Tasks[[#This Row],[_Level]])</f>
        <v>0</v>
      </c>
      <c r="BZ102" s="42" t="n">
        <f aca="false">IF(Tasks[[#This Row],[_IsSummary]],COUNTIF(Tasks[WBS],Tasks[[#This Row],[WBS]]&amp;".*"),0)</f>
        <v>0</v>
      </c>
      <c r="CA102" s="42" t="n">
        <f aca="false">IF(AND(Tasks[[#This Row],[Task Name]]&lt;&gt;"",NOT(Tasks[[#This Row],[_IsSummary]])),1,0)</f>
        <v>0</v>
      </c>
      <c r="CB102" s="42" t="n">
        <f aca="false">IF(N(Tasks[[#This Row],[_Pred1UID]])=0,0,IFERROR(MATCH(Tasks[[#This Row],[_Pred1UID]],Tasks[UID],0),-1))</f>
        <v>0</v>
      </c>
      <c r="CC102" s="42" t="n">
        <f aca="false">IF(N(Tasks[[#This Row],[_Pred2UID]])=0,0,IFERROR(MATCH(Tasks[[#This Row],[_Pred2UID]],Tasks[UID],0),-1))</f>
        <v>0</v>
      </c>
      <c r="CD102" s="42" t="n">
        <f aca="false">IF(N(Tasks[[#This Row],[_Pred3UID]])=0,0,IFERROR(MATCH(Tasks[[#This Row],[_Pred3UID]],Tasks[UID],0),-1))</f>
        <v>0</v>
      </c>
      <c r="CE102" s="42" t="n">
        <f aca="false">IF(N(Tasks[[#This Row],[_Pred4UID]])=0,0,IFERROR(MATCH(Tasks[[#This Row],[_Pred4UID]],Tasks[UID],0),-1))</f>
        <v>0</v>
      </c>
      <c r="CF1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2" s="89" t="n">
        <f aca="false">IF(OR(Tasks[[#This Row],[_ConstraintCode]]=2,Tasks[[#This Row],[_ConstraintCode]]=3,Tasks[[#This Row],[_ConstraintCode]]=4,Tasks[[#This Row],[_ConstraintCode]]=6),Tasks[[#This Row],[_ConstraintStart]],0)</f>
        <v>0</v>
      </c>
      <c r="CI102" s="89" t="n">
        <f aca="false">IF(OR(Tasks[[#This Row],[_ConstraintCode]]=2,Tasks[[#This Row],[_ConstraintCode]]=3,Tasks[[#This Row],[_ConstraintCode]]=5,Tasks[[#This Row],[_ConstraintCode]]=7),Tasks[[#This Row],[_ConstraintStart]],2958465)</f>
        <v>2958465</v>
      </c>
      <c r="CJ1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2" s="89" t="str">
        <f aca="false">IF(NOT(Tasks[[#This Row],[_IsLeaf]]=1),"",IF(N(Tasks[[#This Row],[_Days]])&lt;=0,Tasks[[#This Row],[_LeafCalcStart]],WORKDAY.INTL(Tasks[[#This Row],[_LeafCalcStart]],Tasks[[#This Row],[_Days]]-1,WorkWeek,Holidays)))</f>
        <v/>
      </c>
      <c r="CL1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2" s="42" t="str">
        <f aca="false">IF(Tasks[[#This Row],[_Predecessors]]="","",TRIM(MID(SUBSTITUTE(SUBSTITUTE(SUBSTITUTE(UPPER(Tasks[[#This Row],[_Predecessors]]),";",",")," ",""),",",REPT(" ",99)),1,99)))</f>
        <v/>
      </c>
      <c r="CO102" s="42" t="str">
        <f aca="false">IF(Tasks[[#This Row],[_Pred1Text]]="","",IFERROR(VALUE(LEFT(Tasks[[#This Row],[_Pred1Text]],MIN(FIND("F",Tasks[[#This Row],[_Pred1Text]]&amp;"F"),FIND("S",Tasks[[#This Row],[_Pred1Text]]&amp;"S"),FIND("+",Tasks[[#This Row],[_Pred1Text]]&amp;"+"),FIND("-",Tasks[[#This Row],[_Pred1Text]]&amp;"-"))-1)),""))</f>
        <v/>
      </c>
      <c r="CP1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2" s="42" t="str">
        <f aca="false">IF(Tasks[[#This Row],[_Pred1Text]]="","",TRIM(MID(SUBSTITUTE(SUBSTITUTE(SUBSTITUTE(UPPER(Tasks[[#This Row],[_Predecessors]]),";",",")," ",""),",",REPT(" ",99)),100,99)))</f>
        <v/>
      </c>
      <c r="CS102" s="42" t="str">
        <f aca="false">IF(Tasks[[#This Row],[_Pred2Text]]="","",IFERROR(VALUE(LEFT(Tasks[[#This Row],[_Pred2Text]],MIN(FIND("F",Tasks[[#This Row],[_Pred2Text]]&amp;"F"),FIND("S",Tasks[[#This Row],[_Pred2Text]]&amp;"S"),FIND("+",Tasks[[#This Row],[_Pred2Text]]&amp;"+"),FIND("-",Tasks[[#This Row],[_Pred2Text]]&amp;"-"))-1)),""))</f>
        <v/>
      </c>
      <c r="CT1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2" s="42" t="str">
        <f aca="false">IF(Tasks[[#This Row],[_Pred2Text]]="","",TRIM(MID(SUBSTITUTE(SUBSTITUTE(SUBSTITUTE(UPPER(Tasks[[#This Row],[_Predecessors]]),";",",")," ",""),",",REPT(" ",99)),199,99)))</f>
        <v/>
      </c>
      <c r="CW102" s="42" t="str">
        <f aca="false">IF(Tasks[[#This Row],[_Pred3Text]]="","",IFERROR(VALUE(LEFT(Tasks[[#This Row],[_Pred3Text]],MIN(FIND("F",Tasks[[#This Row],[_Pred3Text]]&amp;"F"),FIND("S",Tasks[[#This Row],[_Pred3Text]]&amp;"S"),FIND("+",Tasks[[#This Row],[_Pred3Text]]&amp;"+"),FIND("-",Tasks[[#This Row],[_Pred3Text]]&amp;"-"))-1)),""))</f>
        <v/>
      </c>
      <c r="CX1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2" s="42" t="str">
        <f aca="false">IF(Tasks[[#This Row],[_Pred3Text]]="","",TRIM(MID(SUBSTITUTE(SUBSTITUTE(SUBSTITUTE(UPPER(Tasks[[#This Row],[_Predecessors]]),";",",")," ",""),",",REPT(" ",99)),298,99)))</f>
        <v/>
      </c>
      <c r="DA102" s="42" t="str">
        <f aca="false">IF(Tasks[[#This Row],[_Pred4Text]]="","",IFERROR(VALUE(LEFT(Tasks[[#This Row],[_Pred4Text]],MIN(FIND("F",Tasks[[#This Row],[_Pred4Text]]&amp;"F"),FIND("S",Tasks[[#This Row],[_Pred4Text]]&amp;"S"),FIND("+",Tasks[[#This Row],[_Pred4Text]]&amp;"+"),FIND("-",Tasks[[#This Row],[_Pred4Text]]&amp;"-"))-1)),""))</f>
        <v/>
      </c>
      <c r="DB1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2" s="42" t="str">
        <f aca="false">IF(OR(Tasks[[#This Row],[Task Name]]="",Tasks[[#This Row],[_Resources]]=""),"",TRIM(MID(SUBSTITUTE(Tasks[[#This Row],[_Resources]],",",REPT(" ",99)),1,99)))</f>
        <v/>
      </c>
      <c r="DE102" s="42" t="str">
        <f aca="false">IF(Tasks[[#This Row],[_Res1Text]]="","",TRIM(MID(SUBSTITUTE(Tasks[[#This Row],[_Resources]],",",REPT(" ",99)),100,99)))</f>
        <v/>
      </c>
      <c r="DF102" s="42" t="str">
        <f aca="false">IF(Tasks[[#This Row],[_Res2Text]]="","",TRIM(MID(SUBSTITUTE(Tasks[[#This Row],[_Resources]],",",REPT(" ",99)),199,99)))</f>
        <v/>
      </c>
      <c r="DG102" s="42" t="str">
        <f aca="false">IF(Tasks[[#This Row],[_Res3Text]]="","",TRIM(MID(SUBSTITUTE(Tasks[[#This Row],[_Resources]],",",REPT(" ",99)),298,99)))</f>
        <v/>
      </c>
      <c r="DH102" s="42" t="n">
        <f aca="false">IF(Tasks[[#This Row],[_Res1Text]]="",0,IFERROR(MATCH(TRIM(LEFT(Tasks[[#This Row],[_Res1Text]],FIND("[",Tasks[[#This Row],[_Res1Text]]&amp;"[")-1)),res_Name,0),IFERROR(MATCH(TRIM(LEFT(Tasks[[#This Row],[_Res1Text]],FIND("[",Tasks[[#This Row],[_Res1Text]]&amp;"[")-1)),res_Initials,0),0)))</f>
        <v>0</v>
      </c>
      <c r="DI102" s="42" t="n">
        <f aca="false">IF(Tasks[[#This Row],[_Res2Text]]="",0,IFERROR(MATCH(TRIM(LEFT(Tasks[[#This Row],[_Res2Text]],FIND("[",Tasks[[#This Row],[_Res2Text]]&amp;"[")-1)),res_Name,0),IFERROR(MATCH(TRIM(LEFT(Tasks[[#This Row],[_Res2Text]],FIND("[",Tasks[[#This Row],[_Res2Text]]&amp;"[")-1)),res_Initials,0),0)))</f>
        <v>0</v>
      </c>
      <c r="DJ102" s="42" t="n">
        <f aca="false">IF(Tasks[[#This Row],[_Res3Text]]="",0,IFERROR(MATCH(TRIM(LEFT(Tasks[[#This Row],[_Res3Text]],FIND("[",Tasks[[#This Row],[_Res3Text]]&amp;"[")-1)),res_Name,0),IFERROR(MATCH(TRIM(LEFT(Tasks[[#This Row],[_Res3Text]],FIND("[",Tasks[[#This Row],[_Res3Text]]&amp;"[")-1)),res_Initials,0),0)))</f>
        <v>0</v>
      </c>
      <c r="DK102" s="42" t="n">
        <f aca="false">IF(Tasks[[#This Row],[_Res4Text]]="",0,IFERROR(MATCH(TRIM(LEFT(Tasks[[#This Row],[_Res4Text]],FIND("[",Tasks[[#This Row],[_Res4Text]]&amp;"[")-1)),res_Name,0),IFERROR(MATCH(TRIM(LEFT(Tasks[[#This Row],[_Res4Text]],FIND("[",Tasks[[#This Row],[_Res4Text]]&amp;"[")-1)),res_Initials,0),0)))</f>
        <v>0</v>
      </c>
      <c r="DL102" s="42" t="str">
        <f aca="false">IF(Tasks[[#This Row],[_Res1Text]]="","",IF(Tasks[[#This Row],[_Res1Row]]&gt;0,INDEX(res_Name,Tasks[[#This Row],[_Res1Row]]),TRIM(LEFT(Tasks[[#This Row],[_Res1Text]],FIND("[",Tasks[[#This Row],[_Res1Text]]&amp;"[")-1))))</f>
        <v/>
      </c>
      <c r="DM1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2" s="42" t="n">
        <f aca="false">IF(NOT(Tasks[[#This Row],[_IsLeaf]]=1),0,(Tasks[[#This Row],[_Resource1]]&lt;&gt;"")+(Tasks[[#This Row],[_Res2]]&lt;&gt;"")+(Tasks[[#This Row],[_Res3]]&lt;&gt;"")+(Tasks[[#This Row],[_Res4]]&lt;&gt;""))</f>
        <v>0</v>
      </c>
      <c r="DO102" s="42" t="str">
        <f aca="false">IF(Tasks[[#This Row],[_Res2Text]]="","",IF(Tasks[[#This Row],[_Res2Row]]&gt;0,INDEX(res_Name,Tasks[[#This Row],[_Res2Row]]),TRIM(LEFT(Tasks[[#This Row],[_Res2Text]],FIND("[",Tasks[[#This Row],[_Res2Text]]&amp;"[")-1))))</f>
        <v/>
      </c>
      <c r="DP1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2" s="42" t="n">
        <f aca="false">IF(OR(NOT(Tasks[[#This Row],[_IsLeaf]]=1),Tasks[[#This Row],[_Res2Row]]=0),0,N(Tasks[[#This Row],[_Days]])*HoursPerDay*IF(Tasks[[#This Row],[_Res2Units]]="",DefaultUnits,Tasks[[#This Row],[_Res2Units]]))</f>
        <v>0</v>
      </c>
      <c r="DR102" s="42" t="n">
        <f aca="false">IF(AND(AND(Tasks[[#This Row],[_IsLeaf]]=1,Tasks[[#This Row],[_LeafTotalWork]]&gt;0),Tasks[[#This Row],[_Res2Work]]&gt;0),Tasks[[#This Row],[_Res2Work]]/(Tasks[[#This Row],[_FinishWorkday]]-Tasks[[#This Row],[_StartWorkday]]+1),0)</f>
        <v>0</v>
      </c>
      <c r="DS102" s="42" t="n">
        <f aca="false">Tasks[[#This Row],[_Res2WorkPerWD]]*MAX(0,Tasks[[#This Row],[_StartWorkday]]-1)</f>
        <v>0</v>
      </c>
      <c r="DT102" s="42" t="n">
        <f aca="false">Tasks[[#This Row],[_Res2Work]]*Tasks[[#This Row],[_LeafProgress]]</f>
        <v>0</v>
      </c>
      <c r="DU102" s="42" t="str">
        <f aca="false">IF(Tasks[[#This Row],[_Res3Text]]="","",IF(Tasks[[#This Row],[_Res3Row]]&gt;0,INDEX(res_Name,Tasks[[#This Row],[_Res3Row]]),TRIM(LEFT(Tasks[[#This Row],[_Res3Text]],FIND("[",Tasks[[#This Row],[_Res3Text]]&amp;"[")-1))))</f>
        <v/>
      </c>
      <c r="DV1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2" s="42" t="n">
        <f aca="false">IF(OR(NOT(Tasks[[#This Row],[_IsLeaf]]=1),Tasks[[#This Row],[_Res3Row]]=0),0,N(Tasks[[#This Row],[_Days]])*HoursPerDay*IF(Tasks[[#This Row],[_Res3Units]]="",DefaultUnits,Tasks[[#This Row],[_Res3Units]]))</f>
        <v>0</v>
      </c>
      <c r="DX102" s="42" t="n">
        <f aca="false">IF(AND(AND(Tasks[[#This Row],[_IsLeaf]]=1,Tasks[[#This Row],[_LeafTotalWork]]&gt;0),Tasks[[#This Row],[_Res3Work]]&gt;0),Tasks[[#This Row],[_Res3Work]]/(Tasks[[#This Row],[_FinishWorkday]]-Tasks[[#This Row],[_StartWorkday]]+1),0)</f>
        <v>0</v>
      </c>
      <c r="DY102" s="42" t="n">
        <f aca="false">Tasks[[#This Row],[_Res3WorkPerWD]]*MAX(0,Tasks[[#This Row],[_StartWorkday]]-1)</f>
        <v>0</v>
      </c>
      <c r="DZ102" s="42" t="n">
        <f aca="false">Tasks[[#This Row],[_Res3Work]]*Tasks[[#This Row],[_LeafProgress]]</f>
        <v>0</v>
      </c>
      <c r="EA102" s="42" t="str">
        <f aca="false">IF(Tasks[[#This Row],[_Res4Text]]="","",IF(Tasks[[#This Row],[_Res4Row]]&gt;0,INDEX(res_Name,Tasks[[#This Row],[_Res4Row]]),TRIM(LEFT(Tasks[[#This Row],[_Res4Text]],FIND("[",Tasks[[#This Row],[_Res4Text]]&amp;"[")-1))))</f>
        <v/>
      </c>
      <c r="EB1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2" s="42" t="n">
        <f aca="false">IF(OR(NOT(Tasks[[#This Row],[_IsLeaf]]=1),Tasks[[#This Row],[_Res4Row]]=0),0,N(Tasks[[#This Row],[_Days]])*HoursPerDay*IF(Tasks[[#This Row],[_Res4Units]]="",DefaultUnits,Tasks[[#This Row],[_Res4Units]]))</f>
        <v>0</v>
      </c>
      <c r="ED102" s="42" t="n">
        <f aca="false">IF(AND(AND(Tasks[[#This Row],[_IsLeaf]]=1,Tasks[[#This Row],[_LeafTotalWork]]&gt;0),Tasks[[#This Row],[_Res4Work]]&gt;0),Tasks[[#This Row],[_Res4Work]]/(Tasks[[#This Row],[_FinishWorkday]]-Tasks[[#This Row],[_StartWorkday]]+1),0)</f>
        <v>0</v>
      </c>
      <c r="EE102" s="42" t="n">
        <f aca="false">Tasks[[#This Row],[_Res4WorkPerWD]]*MAX(0,Tasks[[#This Row],[_StartWorkday]]-1)</f>
        <v>0</v>
      </c>
      <c r="EF102" s="42" t="n">
        <f aca="false">Tasks[[#This Row],[_Res4Work]]*Tasks[[#This Row],[_LeafProgress]]</f>
        <v>0</v>
      </c>
      <c r="EG102" s="42" t="n">
        <f aca="false">IF(ISNUMBER(Tasks[[#This Row],[% Complete]]),Tasks[[#This Row],[% Complete]],IF(Tasks[[#This Row],[Stage]]="",0,IFERROR(INDEX(stg_Pct,MATCH(Tasks[[#This Row],[Stage]],stg_Name,0)),0)))</f>
        <v>0</v>
      </c>
      <c r="EH102" s="42" t="n">
        <f aca="false">IF(NOT(Tasks[[#This Row],[_IsLeaf]]=1),0,IF(N(Tasks[[#This Row],[Actual Finish]])&gt;0,1,MIN(1,Tasks[[#This Row],[_Pct]])))</f>
        <v>0</v>
      </c>
      <c r="EI102" s="42" t="n">
        <f aca="false">IF(OR(NOT(Tasks[[#This Row],[_IsLeaf]]=1),Tasks[[#This Row],[_Res1Row]]=0),0,N(Tasks[[#This Row],[_Days]])*HoursPerDay*IF(Tasks[[#This Row],[_Units1]]="",DefaultUnits,Tasks[[#This Row],[_Units1]]))</f>
        <v>0</v>
      </c>
      <c r="EJ102" s="42" t="n">
        <f aca="false">Tasks[[#This Row],[_LeafWork]]+Tasks[[#This Row],[_Res2Work]]+Tasks[[#This Row],[_Res3Work]]+Tasks[[#This Row],[_Res4Work]]</f>
        <v>0</v>
      </c>
      <c r="EK1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2" s="42" t="n">
        <f aca="false">IF(NOT(Tasks[[#This Row],[_IsLeaf]]=1),0,MAX(_xlfn.MAXIFS(Tasks[_Row],Tasks[_Pred1UID],Tasks[[#This Row],[UID]]),_xlfn.MAXIFS(Tasks[_Row],Tasks[_Pred2UID],Tasks[[#This Row],[UID]]),_xlfn.MAXIFS(Tasks[_Row],Tasks[_Pred3UID],Tasks[[#This Row],[UID]]),_xlfn.MAXIFS(Tasks[_Row],Tasks[_Pred4UID],Tasks[[#This Row],[UID]])))</f>
        <v>0</v>
      </c>
      <c r="ET1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2" s="89" t="str">
        <f aca="false">IF(NOT(Tasks[[#This Row],[_IsLeaf]]=1),"",IF(N(Tasks[[#This Row],[_Days]])&lt;=0,Tasks[[#This Row],[_LeafLateFinish]],WORKDAY.INTL(Tasks[[#This Row],[_LeafLateFinish]],-(Tasks[[#This Row],[_Days]]-1),WorkWeek,Holidays)))</f>
        <v/>
      </c>
      <c r="EW1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2" s="88" t="b">
        <f aca="false">AND(Tasks[[#This Row],[_IsLeaf]]=1,Tasks[[#This Row],[_LeafProgress]]&lt;1,N(Tasks[[#This Row],[_LeafTotalSlack]])&lt;=CriticalSlackDays)</f>
        <v>0</v>
      </c>
      <c r="EY102" s="42" t="n">
        <f aca="false">IF(AND(Tasks[[#This Row],[_IsLeaf]]=1,Tasks[[#This Row],[_ConstraintCode]]=1,Tasks[[#This Row],[Mode]]&lt;&gt;"Manual",N(Tasks[[#This Row],[Actual Start]])=0),MAX(0,N(Tasks[[#This Row],[Free Slack]])),0)</f>
        <v>0</v>
      </c>
      <c r="EZ102" s="89" t="str">
        <f aca="false">IF(NOT(Tasks[[#This Row],[_IsLeaf]]=1),"",IF(Tasks[[#This Row],[_AlapShift]]=0,Tasks[[#This Row],[_LeafCalcStart]],WORKDAY.INTL(Tasks[[#This Row],[_LeafCalcStart]],Tasks[[#This Row],[_AlapShift]],WorkWeek,Holidays)))</f>
        <v/>
      </c>
      <c r="FA102" s="89" t="str">
        <f aca="false">IF(NOT(Tasks[[#This Row],[_IsLeaf]]=1),"",IF(Tasks[[#This Row],[_AlapShift]]=0,Tasks[[#This Row],[_LeafCalcFinish]],WORKDAY.INTL(Tasks[[#This Row],[_LeafCalcFinish]],Tasks[[#This Row],[_AlapShift]],WorkWeek,Holidays)))</f>
        <v/>
      </c>
      <c r="FB102" s="89" t="str">
        <f aca="false">IF(NOT(Tasks[[#This Row],[_IsLeaf]]=1),"",IF(Tasks[[#This Row],[_AlapShift]]=0,Tasks[[#This Row],[_LeafFcstStart]],WORKDAY.INTL(Tasks[[#This Row],[_LeafFcstStart]],Tasks[[#This Row],[_AlapShift]],WorkWeek,Holidays)))</f>
        <v/>
      </c>
      <c r="FC102" s="89" t="str">
        <f aca="false">IF(NOT(Tasks[[#This Row],[_IsLeaf]]=1),"",IF(Tasks[[#This Row],[_AlapShift]]=0,Tasks[[#This Row],[_LeafFcstFinish]],WORKDAY.INTL(Tasks[[#This Row],[_LeafFcstFinish]],Tasks[[#This Row],[_AlapShift]],WorkWeek,Holidays)))</f>
        <v/>
      </c>
      <c r="FD102" s="89" t="str">
        <f aca="false">IF(Tasks[[#This Row],[Task Name]]="","",IF(Tasks[[#This Row],[_IsSummary]],MIN(INDEX(Tasks[_ShownCalcStart],Tasks[[#This Row],[_Row]]+1):INDEX(Tasks[_ShownCalcStart],Tasks[[#This Row],[_Row]]+Tasks[[#This Row],[_Descendants]])),Tasks[[#This Row],[_ShownCalcStart]]))</f>
        <v/>
      </c>
      <c r="FE102" s="89" t="str">
        <f aca="false">IF(Tasks[[#This Row],[Task Name]]="","",IF(Tasks[[#This Row],[_IsSummary]],MAX(INDEX(Tasks[_ShownCalcFinish],Tasks[[#This Row],[_Row]]+1):INDEX(Tasks[_ShownCalcFinish],Tasks[[#This Row],[_Row]]+Tasks[[#This Row],[_Descendants]])),Tasks[[#This Row],[_ShownCalcFinish]]))</f>
        <v/>
      </c>
      <c r="FF1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2" s="42" t="n">
        <f aca="false">IF(AND(Tasks[[#This Row],[_IsLeaf]]=1,Tasks[[#This Row],[_LeafTotalWork]]&gt;0),NETWORKDAYS.INTL(ProjectStart,Tasks[[#This Row],[_ShownFcstStart]],WorkWeek,Holidays),0)</f>
        <v>0</v>
      </c>
      <c r="FS102" s="42" t="n">
        <f aca="false">IF(AND(Tasks[[#This Row],[_IsLeaf]]=1,Tasks[[#This Row],[_LeafTotalWork]]&gt;0),MAX(Tasks[[#This Row],[_StartWorkday]],NETWORKDAYS.INTL(ProjectStart,Tasks[[#This Row],[_ShownFcstFinish]],WorkWeek,Holidays)),0)</f>
        <v>0</v>
      </c>
      <c r="FT102" s="42" t="n">
        <f aca="false">IF(AND(Tasks[[#This Row],[_IsLeaf]]=1,Tasks[[#This Row],[_LeafTotalWork]]&gt;0),Tasks[[#This Row],[_LeafWork]]/(Tasks[[#This Row],[_FinishWorkday]]-Tasks[[#This Row],[_StartWorkday]]+1),0)</f>
        <v>0</v>
      </c>
      <c r="FU102" s="42" t="n">
        <f aca="false">Tasks[[#This Row],[_WorkPerWorkday]]*(Tasks[[#This Row],[_StartWorkday]]-1)</f>
        <v>-0</v>
      </c>
      <c r="FV102" s="42" t="n">
        <f aca="false">IF(Tasks[[#This Row],[_IsLeaf]]=1,MAX(N(Tasks[[#This Row],[_Days]]),0.1),0)</f>
        <v>0</v>
      </c>
      <c r="FW102" s="42" t="n">
        <f aca="false">Tasks[[#This Row],[_WeightDur]]*Tasks[[#This Row],[_LeafProgress]]</f>
        <v>0</v>
      </c>
      <c r="FX102" s="42" t="n">
        <f aca="false">Tasks[[#This Row],[_WeightDur]]*Tasks[[#This Row],[_PlannedPct]]</f>
        <v>0</v>
      </c>
      <c r="FY1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2" s="42" t="str">
        <f aca="false">IF(AND(Tasks[[#This Row],[_IsLeaf]]=1,N(Tasks[[#This Row],[_Days]])=0,Tasks[[#This Row],[_LeafProgress]]&lt;1),Tasks[[#This Row],[_ShownFcstFinish]]+Tasks[[#This Row],[_Row]]/100000,"")</f>
        <v/>
      </c>
      <c r="GA1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2" s="42" t="str">
        <f aca="false">IF(Tasks[[#This Row],[Task Name]]="","",LEFT(Tasks[[#This Row],[WBS]],FIND(".",Tasks[[#This Row],[WBS]]&amp;".")-1))</f>
        <v/>
      </c>
      <c r="GC102" s="42" t="str">
        <f aca="false">IF(AND(Tasks[[#This Row],[Task Name]]&lt;&gt;"",Tasks[[#This Row],[_Level]]=1),Tasks[[#This Row],[_Row]],"")</f>
        <v/>
      </c>
      <c r="GD102" s="42" t="str">
        <f aca="false">IF(AND(Tasks[[#This Row],[_IsLeaf]]=1,N(Tasks[[#This Row],[_Days]])=0),Tasks[[#This Row],[Planned Finish]]+Tasks[[#This Row],[_Row]]/100000,"")</f>
        <v/>
      </c>
      <c r="GE102" s="42" t="str">
        <f aca="false">IF(AND(Tasks[[#This Row],[_IsLeaf]]=1,Tasks[[#This Row],[_LeafProgress]]&lt;1,OR(N(Tasks[[#This Row],[Finish Var]])&gt;0,Tasks[[#This Row],[Status]]="Late Start")),MAX(0,Tasks[[#This Row],[Finish Var]])+1-Tasks[[#This Row],[_Row]]/1000000,"")</f>
        <v/>
      </c>
      <c r="GF102" s="42" t="str">
        <f aca="false">IF(AND(Tasks[[#This Row],[_IsLeaf]]=1,N(Tasks[[#This Row],[Actual Start]])=0,Tasks[[#This Row],[_ShownFcstStart]]&gt;=StatusDate,Tasks[[#This Row],[_ShownFcstStart]]&lt;=LookaheadEnd),Tasks[[#This Row],[_ShownFcstStart]]+Tasks[[#This Row],[_Row]]/100000,"")</f>
        <v/>
      </c>
      <c r="GG102" s="42" t="str">
        <f aca="false">IF(AND(Tasks[[#This Row],[_IsLeaf]]=1,Tasks[[#This Row],[_LeafProgress]]&lt;1,Tasks[[#This Row],[_ShownFcstFinish]]&gt;=StatusDate,Tasks[[#This Row],[_ShownFcstFinish]]&lt;=LookaheadEnd),Tasks[[#This Row],[_ShownFcstFinish]]+Tasks[[#This Row],[_Row]]/100000,"")</f>
        <v/>
      </c>
      <c r="GH102" s="42" t="str">
        <f aca="false">IF(Tasks[[#This Row],[_LeafCritical]],Tasks[[#This Row],[_ShownFcstStart]]+Tasks[[#This Row],[_Row]]/100000,"")</f>
        <v/>
      </c>
      <c r="GI102" s="42" t="n">
        <f aca="false">Tasks[[#This Row],[_LeafWork]]*Tasks[[#This Row],[_LeafProgress]]</f>
        <v>0</v>
      </c>
      <c r="GJ102" s="89" t="str">
        <f aca="false">IF(AND(Tasks[[#This Row],[_IsLeaf]]=1,Tasks[[#This Row],[_LeafProgress]]&gt;=1),IF(N(Tasks[[#This Row],[Actual Finish]])&gt;0,Tasks[[#This Row],[Actual Finish]],Tasks[[#This Row],[_ShownFcstFinish]]),"")</f>
        <v/>
      </c>
      <c r="GK102" s="42" t="n">
        <f aca="false">IF(Tasks[[#This Row],[_IsLeaf]]=1,N(Tasks[[#This Row],[Story Points]]),0)</f>
        <v>0</v>
      </c>
      <c r="GL102" s="42" t="str">
        <f aca="false">""</f>
        <v/>
      </c>
      <c r="GM102" s="88" t="b">
        <f aca="false">IF(Tasks[[#This Row],[Task Name]]="",FALSE(),AND(Tasks[[#This Row],[_IsLeaf]]=1,N(Tasks[[#This Row],[_Days]])=0))</f>
        <v>0</v>
      </c>
      <c r="GN102" s="89" t="n">
        <f aca="false">IF(Tasks[[#This Row],[Task Name]]="",0,IF(AND(Tasks[[#This Row],[_IsLeaf]]=1,NOT(Tasks[[#This Row],[_IsMilestone]]),N(Tasks[[#This Row],[Progress]])&gt;0),Tasks[[#This Row],[Start]],0))</f>
        <v>0</v>
      </c>
      <c r="GO102" s="89" t="n">
        <f aca="false">IF(Tasks[[#This Row],[_DoneFrom]]=0,0,IF(Tasks[[#This Row],[Progress]]&gt;=1,Tasks[[#This Row],[Finish]],MAX(Tasks[[#This Row],[_DoneFrom]],Tasks[[#This Row],[Start]]+ROUND((Tasks[[#This Row],[Finish]]-Tasks[[#This Row],[Start]]+1)*Tasks[[#This Row],[Progress]],0)-1)))</f>
        <v>0</v>
      </c>
      <c r="GP102" s="89" t="n">
        <f aca="false">IF(Tasks[[#This Row],[Task Name]]="",0,IF(OR(NOT(Tasks[[#This Row],[_IsLeaf]]=1),Tasks[[#This Row],[_IsMilestone]],N(Tasks[[#This Row],[Progress]])&gt;=1),0,IF(Tasks[[#This Row],[_DoneTo]]&gt;0,Tasks[[#This Row],[_DoneTo]]+1,Tasks[[#This Row],[Start]])))</f>
        <v>0</v>
      </c>
      <c r="GQ102" s="89" t="n">
        <f aca="false">IF(Tasks[[#This Row],[_RemFrom]]=0,0,Tasks[[#This Row],[Finish]])</f>
        <v>0</v>
      </c>
      <c r="GR102" s="88" t="b">
        <f aca="false">IF(Tasks[[#This Row],[Task Name]]="",FALSE(),OR(NOT(BaselineSet),N(Tasks[[#This Row],[Baseline Start]])&gt;0))</f>
        <v>0</v>
      </c>
      <c r="GS1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2" s="90" t="str">
        <f aca="false">IF(Tasks[[#This Row],[_IsLeaf]]=1,Tasks[[#This Row],[_Row]],"")</f>
        <v/>
      </c>
      <c r="GW102" s="90" t="str">
        <f aca="false">IFERROR(INDEX(Tasks[UID],SMALL(Tasks[_PickKey],Tasks[[#This Row],[_Row]]))&amp;" "&amp;INDEX(Tasks[Task Name],SMALL(Tasks[_PickKey],Tasks[[#This Row],[_Row]])),"")</f>
        <v/>
      </c>
      <c r="GX102" s="42" t="str">
        <f aca="false">IF(Tasks[[#This Row],[Task Name]]="","",IF(Tasks[[#This Row],[_IsSummary]],NETWORKDAYS.INTL(Tasks[[#This Row],[Start]],Tasks[[#This Row],[Finish]],WorkWeek,Holidays),N(Tasks[[#This Row],[_Days]])))</f>
        <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3"/>
      <c r="U103" s="23"/>
      <c r="V103" s="83"/>
      <c r="W103" s="23"/>
      <c r="X103" s="83"/>
      <c r="Y103" s="23"/>
      <c r="Z103" s="83"/>
      <c r="AA103" s="23"/>
      <c r="AB103" s="23"/>
      <c r="AC103" s="7"/>
      <c r="AD103" s="7"/>
      <c r="AE103" s="62" t="str">
        <f aca="false">IF(Tasks[[#This Row],[Task Name]]="","",IF(Tasks[[#This Row],[_IsSummary]],MIN(INDEX(Tasks[_ShownFcstStart],Tasks[[#This Row],[_Row]]+1):INDEX(Tasks[_ShownFcstStart],Tasks[[#This Row],[_Row]]+Tasks[[#This Row],[_Descendants]])),Tasks[[#This Row],[_ShownFcstStart]]))</f>
        <v/>
      </c>
      <c r="AF103" s="62"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3" s="7"/>
      <c r="AK103" s="22"/>
      <c r="AL103" s="23"/>
      <c r="AM103" s="7"/>
      <c r="AN103" s="46"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2" t="str">
        <f aca="false">IF(Tasks[[#This Row],[Task Name]]="","",IF(N(Tasks[[#This Row],[Baseline Start]])&gt;0,Tasks[[#This Row],[Baseline Start]],Tasks[[#This Row],[_CalcStart]]))</f>
        <v/>
      </c>
      <c r="AR103" s="62" t="str">
        <f aca="false">IF(Tasks[[#This Row],[Task Name]]="","",IF(N(Tasks[[#This Row],[Baseline Finish]])&gt;0,Tasks[[#This Row],[Baseline Finish]],Tasks[[#This Row],[_CalcFinish]]))</f>
        <v/>
      </c>
      <c r="AS103" s="46" t="str">
        <f aca="false">IF(Tasks[[#This Row],[Task Name]]="","",IF(Tasks[[#This Row],[Start]]&gt;=Tasks[[#This Row],[Planned Start]],NETWORKDAYS.INTL(Tasks[[#This Row],[Planned Start]],Tasks[[#This Row],[Start]],WorkWeek,Holidays)-1,1-NETWORKDAYS.INTL(Tasks[[#This Row],[Start]],Tasks[[#This Row],[Planned Start]],WorkWeek,Holidays)))</f>
        <v/>
      </c>
      <c r="AT103" s="62" t="str">
        <f aca="false">IF(Tasks[[#This Row],[Task Name]]="","",IF(Tasks[[#This Row],[_IsSummary]],MIN(INDEX(Tasks[_LeafLateStart],Tasks[[#This Row],[_Row]]+1):INDEX(Tasks[_LeafLateStart],Tasks[[#This Row],[_Row]]+Tasks[[#This Row],[_Descendants]])),Tasks[[#This Row],[_LeafLateStart]]))</f>
        <v/>
      </c>
      <c r="AU103" s="62" t="str">
        <f aca="false">IF(Tasks[[#This Row],[Task Name]]="","",IF(Tasks[[#This Row],[_IsSummary]],MAX(INDEX(Tasks[_LeafLateFinish],Tasks[[#This Row],[_Row]]+1):INDEX(Tasks[_LeafLateFinish],Tasks[[#This Row],[_Row]]+Tasks[[#This Row],[_Descendants]])),Tasks[[#This Row],[_LeafLateFinish]]))</f>
        <v/>
      </c>
      <c r="AV103" s="46"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4"/>
      <c r="BA1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5"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6"/>
      <c r="BJ103" s="22"/>
      <c r="BK103" s="46" t="str">
        <f aca="false">IF(OR(Tasks[[#This Row],[Task Name]]="",Tasks[[#This Row],[Baseline Duration]]=""),"",Tasks[[#This Row],[_SpanDays]]-N(Tasks[[#This Row],[Baseline Duration]]))</f>
        <v/>
      </c>
      <c r="BL103" s="85" t="str">
        <f aca="false">IF(OR(Tasks[[#This Row],[Task Name]]="",Tasks[[#This Row],[Baseline Work]]=""),"",Tasks[[#This Row],[Work]]-N(Tasks[[#This Row],[Baseline Work]]))</f>
        <v/>
      </c>
      <c r="BM103" s="62" t="str">
        <f aca="false">IF(Tasks[[#This Row],[Task Name]]="","",IF(OR(TakeBaseline="Yes",N(Tasks[[#This Row],[Baseline Start]])=0),Tasks[[#This Row],[Start]],Tasks[[#This Row],[Baseline Start]]))</f>
        <v/>
      </c>
      <c r="BN103" s="62"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5" t="str">
        <f aca="false">IF(Tasks[[#This Row],[Task Name]]="","",IF(OR(TakeBaseline="Yes",N(Tasks[[#This Row],[Baseline Work]])=0),Tasks[[#This Row],[Work]],Tasks[[#This Row],[Baseline Work]]))</f>
        <v/>
      </c>
      <c r="BQ103" s="7"/>
      <c r="BR103" s="7"/>
      <c r="BS103" s="22"/>
      <c r="BT103" s="87"/>
      <c r="BU103" s="42" t="str">
        <f aca="false">IF(Tasks[[#This Row],[Task Name]]="","",MAX(1,N(Tasks[[#This Row],[Level]])))</f>
        <v/>
      </c>
      <c r="BV103" s="42" t="n">
        <f aca="false">ROW()-ROW(Tasks[[#Headers],[ID]])</f>
        <v>98</v>
      </c>
      <c r="BW103" s="42" t="n">
        <f aca="false">IF(OR(Tasks[[#This Row],[Task Name]]="",Tasks[[#This Row],[_Level]]&lt;=1),0,IFERROR(LOOKUP(2,1/(Tasks[[#Headers],[_Level]]:Tasks[[#This Row],[_Level]]=Tasks[[#This Row],[_Level]]-1),ROW(Tasks[[#Headers],[_Level]]:Tasks[[#This Row],[_Level]])),0))</f>
        <v>0</v>
      </c>
      <c r="BX103" s="42" t="n">
        <f aca="false">IFERROR(N(INDEX(Tasks[_Level],Tasks[[#This Row],[_Row]]+1)),0)</f>
        <v>0</v>
      </c>
      <c r="BY103" s="88" t="b">
        <f aca="false">AND(Tasks[[#This Row],[Task Name]]&lt;&gt;"",Tasks[[#This Row],[_NextLevel]]&gt;Tasks[[#This Row],[_Level]])</f>
        <v>0</v>
      </c>
      <c r="BZ103" s="42" t="n">
        <f aca="false">IF(Tasks[[#This Row],[_IsSummary]],COUNTIF(Tasks[WBS],Tasks[[#This Row],[WBS]]&amp;".*"),0)</f>
        <v>0</v>
      </c>
      <c r="CA103" s="42" t="n">
        <f aca="false">IF(AND(Tasks[[#This Row],[Task Name]]&lt;&gt;"",NOT(Tasks[[#This Row],[_IsSummary]])),1,0)</f>
        <v>0</v>
      </c>
      <c r="CB103" s="42" t="n">
        <f aca="false">IF(N(Tasks[[#This Row],[_Pred1UID]])=0,0,IFERROR(MATCH(Tasks[[#This Row],[_Pred1UID]],Tasks[UID],0),-1))</f>
        <v>0</v>
      </c>
      <c r="CC103" s="42" t="n">
        <f aca="false">IF(N(Tasks[[#This Row],[_Pred2UID]])=0,0,IFERROR(MATCH(Tasks[[#This Row],[_Pred2UID]],Tasks[UID],0),-1))</f>
        <v>0</v>
      </c>
      <c r="CD103" s="42" t="n">
        <f aca="false">IF(N(Tasks[[#This Row],[_Pred3UID]])=0,0,IFERROR(MATCH(Tasks[[#This Row],[_Pred3UID]],Tasks[UID],0),-1))</f>
        <v>0</v>
      </c>
      <c r="CE103" s="42" t="n">
        <f aca="false">IF(N(Tasks[[#This Row],[_Pred4UID]])=0,0,IFERROR(MATCH(Tasks[[#This Row],[_Pred4UID]],Tasks[UID],0),-1))</f>
        <v>0</v>
      </c>
      <c r="CF1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3" s="89" t="n">
        <f aca="false">IF(OR(Tasks[[#This Row],[_ConstraintCode]]=2,Tasks[[#This Row],[_ConstraintCode]]=3,Tasks[[#This Row],[_ConstraintCode]]=4,Tasks[[#This Row],[_ConstraintCode]]=6),Tasks[[#This Row],[_ConstraintStart]],0)</f>
        <v>0</v>
      </c>
      <c r="CI103" s="89" t="n">
        <f aca="false">IF(OR(Tasks[[#This Row],[_ConstraintCode]]=2,Tasks[[#This Row],[_ConstraintCode]]=3,Tasks[[#This Row],[_ConstraintCode]]=5,Tasks[[#This Row],[_ConstraintCode]]=7),Tasks[[#This Row],[_ConstraintStart]],2958465)</f>
        <v>2958465</v>
      </c>
      <c r="CJ1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3" s="89" t="str">
        <f aca="false">IF(NOT(Tasks[[#This Row],[_IsLeaf]]=1),"",IF(N(Tasks[[#This Row],[_Days]])&lt;=0,Tasks[[#This Row],[_LeafCalcStart]],WORKDAY.INTL(Tasks[[#This Row],[_LeafCalcStart]],Tasks[[#This Row],[_Days]]-1,WorkWeek,Holidays)))</f>
        <v/>
      </c>
      <c r="CL1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3" s="42" t="str">
        <f aca="false">IF(Tasks[[#This Row],[_Predecessors]]="","",TRIM(MID(SUBSTITUTE(SUBSTITUTE(SUBSTITUTE(UPPER(Tasks[[#This Row],[_Predecessors]]),";",",")," ",""),",",REPT(" ",99)),1,99)))</f>
        <v/>
      </c>
      <c r="CO103" s="42" t="str">
        <f aca="false">IF(Tasks[[#This Row],[_Pred1Text]]="","",IFERROR(VALUE(LEFT(Tasks[[#This Row],[_Pred1Text]],MIN(FIND("F",Tasks[[#This Row],[_Pred1Text]]&amp;"F"),FIND("S",Tasks[[#This Row],[_Pred1Text]]&amp;"S"),FIND("+",Tasks[[#This Row],[_Pred1Text]]&amp;"+"),FIND("-",Tasks[[#This Row],[_Pred1Text]]&amp;"-"))-1)),""))</f>
        <v/>
      </c>
      <c r="CP1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3" s="42" t="str">
        <f aca="false">IF(Tasks[[#This Row],[_Pred1Text]]="","",TRIM(MID(SUBSTITUTE(SUBSTITUTE(SUBSTITUTE(UPPER(Tasks[[#This Row],[_Predecessors]]),";",",")," ",""),",",REPT(" ",99)),100,99)))</f>
        <v/>
      </c>
      <c r="CS103" s="42" t="str">
        <f aca="false">IF(Tasks[[#This Row],[_Pred2Text]]="","",IFERROR(VALUE(LEFT(Tasks[[#This Row],[_Pred2Text]],MIN(FIND("F",Tasks[[#This Row],[_Pred2Text]]&amp;"F"),FIND("S",Tasks[[#This Row],[_Pred2Text]]&amp;"S"),FIND("+",Tasks[[#This Row],[_Pred2Text]]&amp;"+"),FIND("-",Tasks[[#This Row],[_Pred2Text]]&amp;"-"))-1)),""))</f>
        <v/>
      </c>
      <c r="CT1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3" s="42" t="str">
        <f aca="false">IF(Tasks[[#This Row],[_Pred2Text]]="","",TRIM(MID(SUBSTITUTE(SUBSTITUTE(SUBSTITUTE(UPPER(Tasks[[#This Row],[_Predecessors]]),";",",")," ",""),",",REPT(" ",99)),199,99)))</f>
        <v/>
      </c>
      <c r="CW103" s="42" t="str">
        <f aca="false">IF(Tasks[[#This Row],[_Pred3Text]]="","",IFERROR(VALUE(LEFT(Tasks[[#This Row],[_Pred3Text]],MIN(FIND("F",Tasks[[#This Row],[_Pred3Text]]&amp;"F"),FIND("S",Tasks[[#This Row],[_Pred3Text]]&amp;"S"),FIND("+",Tasks[[#This Row],[_Pred3Text]]&amp;"+"),FIND("-",Tasks[[#This Row],[_Pred3Text]]&amp;"-"))-1)),""))</f>
        <v/>
      </c>
      <c r="CX1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3" s="42" t="str">
        <f aca="false">IF(Tasks[[#This Row],[_Pred3Text]]="","",TRIM(MID(SUBSTITUTE(SUBSTITUTE(SUBSTITUTE(UPPER(Tasks[[#This Row],[_Predecessors]]),";",",")," ",""),",",REPT(" ",99)),298,99)))</f>
        <v/>
      </c>
      <c r="DA103" s="42" t="str">
        <f aca="false">IF(Tasks[[#This Row],[_Pred4Text]]="","",IFERROR(VALUE(LEFT(Tasks[[#This Row],[_Pred4Text]],MIN(FIND("F",Tasks[[#This Row],[_Pred4Text]]&amp;"F"),FIND("S",Tasks[[#This Row],[_Pred4Text]]&amp;"S"),FIND("+",Tasks[[#This Row],[_Pred4Text]]&amp;"+"),FIND("-",Tasks[[#This Row],[_Pred4Text]]&amp;"-"))-1)),""))</f>
        <v/>
      </c>
      <c r="DB1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3" s="42" t="str">
        <f aca="false">IF(OR(Tasks[[#This Row],[Task Name]]="",Tasks[[#This Row],[_Resources]]=""),"",TRIM(MID(SUBSTITUTE(Tasks[[#This Row],[_Resources]],",",REPT(" ",99)),1,99)))</f>
        <v/>
      </c>
      <c r="DE103" s="42" t="str">
        <f aca="false">IF(Tasks[[#This Row],[_Res1Text]]="","",TRIM(MID(SUBSTITUTE(Tasks[[#This Row],[_Resources]],",",REPT(" ",99)),100,99)))</f>
        <v/>
      </c>
      <c r="DF103" s="42" t="str">
        <f aca="false">IF(Tasks[[#This Row],[_Res2Text]]="","",TRIM(MID(SUBSTITUTE(Tasks[[#This Row],[_Resources]],",",REPT(" ",99)),199,99)))</f>
        <v/>
      </c>
      <c r="DG103" s="42" t="str">
        <f aca="false">IF(Tasks[[#This Row],[_Res3Text]]="","",TRIM(MID(SUBSTITUTE(Tasks[[#This Row],[_Resources]],",",REPT(" ",99)),298,99)))</f>
        <v/>
      </c>
      <c r="DH103" s="42" t="n">
        <f aca="false">IF(Tasks[[#This Row],[_Res1Text]]="",0,IFERROR(MATCH(TRIM(LEFT(Tasks[[#This Row],[_Res1Text]],FIND("[",Tasks[[#This Row],[_Res1Text]]&amp;"[")-1)),res_Name,0),IFERROR(MATCH(TRIM(LEFT(Tasks[[#This Row],[_Res1Text]],FIND("[",Tasks[[#This Row],[_Res1Text]]&amp;"[")-1)),res_Initials,0),0)))</f>
        <v>0</v>
      </c>
      <c r="DI103" s="42" t="n">
        <f aca="false">IF(Tasks[[#This Row],[_Res2Text]]="",0,IFERROR(MATCH(TRIM(LEFT(Tasks[[#This Row],[_Res2Text]],FIND("[",Tasks[[#This Row],[_Res2Text]]&amp;"[")-1)),res_Name,0),IFERROR(MATCH(TRIM(LEFT(Tasks[[#This Row],[_Res2Text]],FIND("[",Tasks[[#This Row],[_Res2Text]]&amp;"[")-1)),res_Initials,0),0)))</f>
        <v>0</v>
      </c>
      <c r="DJ103" s="42" t="n">
        <f aca="false">IF(Tasks[[#This Row],[_Res3Text]]="",0,IFERROR(MATCH(TRIM(LEFT(Tasks[[#This Row],[_Res3Text]],FIND("[",Tasks[[#This Row],[_Res3Text]]&amp;"[")-1)),res_Name,0),IFERROR(MATCH(TRIM(LEFT(Tasks[[#This Row],[_Res3Text]],FIND("[",Tasks[[#This Row],[_Res3Text]]&amp;"[")-1)),res_Initials,0),0)))</f>
        <v>0</v>
      </c>
      <c r="DK103" s="42" t="n">
        <f aca="false">IF(Tasks[[#This Row],[_Res4Text]]="",0,IFERROR(MATCH(TRIM(LEFT(Tasks[[#This Row],[_Res4Text]],FIND("[",Tasks[[#This Row],[_Res4Text]]&amp;"[")-1)),res_Name,0),IFERROR(MATCH(TRIM(LEFT(Tasks[[#This Row],[_Res4Text]],FIND("[",Tasks[[#This Row],[_Res4Text]]&amp;"[")-1)),res_Initials,0),0)))</f>
        <v>0</v>
      </c>
      <c r="DL103" s="42" t="str">
        <f aca="false">IF(Tasks[[#This Row],[_Res1Text]]="","",IF(Tasks[[#This Row],[_Res1Row]]&gt;0,INDEX(res_Name,Tasks[[#This Row],[_Res1Row]]),TRIM(LEFT(Tasks[[#This Row],[_Res1Text]],FIND("[",Tasks[[#This Row],[_Res1Text]]&amp;"[")-1))))</f>
        <v/>
      </c>
      <c r="DM1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3" s="42" t="n">
        <f aca="false">IF(NOT(Tasks[[#This Row],[_IsLeaf]]=1),0,(Tasks[[#This Row],[_Resource1]]&lt;&gt;"")+(Tasks[[#This Row],[_Res2]]&lt;&gt;"")+(Tasks[[#This Row],[_Res3]]&lt;&gt;"")+(Tasks[[#This Row],[_Res4]]&lt;&gt;""))</f>
        <v>0</v>
      </c>
      <c r="DO103" s="42" t="str">
        <f aca="false">IF(Tasks[[#This Row],[_Res2Text]]="","",IF(Tasks[[#This Row],[_Res2Row]]&gt;0,INDEX(res_Name,Tasks[[#This Row],[_Res2Row]]),TRIM(LEFT(Tasks[[#This Row],[_Res2Text]],FIND("[",Tasks[[#This Row],[_Res2Text]]&amp;"[")-1))))</f>
        <v/>
      </c>
      <c r="DP1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3" s="42" t="n">
        <f aca="false">IF(OR(NOT(Tasks[[#This Row],[_IsLeaf]]=1),Tasks[[#This Row],[_Res2Row]]=0),0,N(Tasks[[#This Row],[_Days]])*HoursPerDay*IF(Tasks[[#This Row],[_Res2Units]]="",DefaultUnits,Tasks[[#This Row],[_Res2Units]]))</f>
        <v>0</v>
      </c>
      <c r="DR103" s="42" t="n">
        <f aca="false">IF(AND(AND(Tasks[[#This Row],[_IsLeaf]]=1,Tasks[[#This Row],[_LeafTotalWork]]&gt;0),Tasks[[#This Row],[_Res2Work]]&gt;0),Tasks[[#This Row],[_Res2Work]]/(Tasks[[#This Row],[_FinishWorkday]]-Tasks[[#This Row],[_StartWorkday]]+1),0)</f>
        <v>0</v>
      </c>
      <c r="DS103" s="42" t="n">
        <f aca="false">Tasks[[#This Row],[_Res2WorkPerWD]]*MAX(0,Tasks[[#This Row],[_StartWorkday]]-1)</f>
        <v>0</v>
      </c>
      <c r="DT103" s="42" t="n">
        <f aca="false">Tasks[[#This Row],[_Res2Work]]*Tasks[[#This Row],[_LeafProgress]]</f>
        <v>0</v>
      </c>
      <c r="DU103" s="42" t="str">
        <f aca="false">IF(Tasks[[#This Row],[_Res3Text]]="","",IF(Tasks[[#This Row],[_Res3Row]]&gt;0,INDEX(res_Name,Tasks[[#This Row],[_Res3Row]]),TRIM(LEFT(Tasks[[#This Row],[_Res3Text]],FIND("[",Tasks[[#This Row],[_Res3Text]]&amp;"[")-1))))</f>
        <v/>
      </c>
      <c r="DV1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3" s="42" t="n">
        <f aca="false">IF(OR(NOT(Tasks[[#This Row],[_IsLeaf]]=1),Tasks[[#This Row],[_Res3Row]]=0),0,N(Tasks[[#This Row],[_Days]])*HoursPerDay*IF(Tasks[[#This Row],[_Res3Units]]="",DefaultUnits,Tasks[[#This Row],[_Res3Units]]))</f>
        <v>0</v>
      </c>
      <c r="DX103" s="42" t="n">
        <f aca="false">IF(AND(AND(Tasks[[#This Row],[_IsLeaf]]=1,Tasks[[#This Row],[_LeafTotalWork]]&gt;0),Tasks[[#This Row],[_Res3Work]]&gt;0),Tasks[[#This Row],[_Res3Work]]/(Tasks[[#This Row],[_FinishWorkday]]-Tasks[[#This Row],[_StartWorkday]]+1),0)</f>
        <v>0</v>
      </c>
      <c r="DY103" s="42" t="n">
        <f aca="false">Tasks[[#This Row],[_Res3WorkPerWD]]*MAX(0,Tasks[[#This Row],[_StartWorkday]]-1)</f>
        <v>0</v>
      </c>
      <c r="DZ103" s="42" t="n">
        <f aca="false">Tasks[[#This Row],[_Res3Work]]*Tasks[[#This Row],[_LeafProgress]]</f>
        <v>0</v>
      </c>
      <c r="EA103" s="42" t="str">
        <f aca="false">IF(Tasks[[#This Row],[_Res4Text]]="","",IF(Tasks[[#This Row],[_Res4Row]]&gt;0,INDEX(res_Name,Tasks[[#This Row],[_Res4Row]]),TRIM(LEFT(Tasks[[#This Row],[_Res4Text]],FIND("[",Tasks[[#This Row],[_Res4Text]]&amp;"[")-1))))</f>
        <v/>
      </c>
      <c r="EB1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3" s="42" t="n">
        <f aca="false">IF(OR(NOT(Tasks[[#This Row],[_IsLeaf]]=1),Tasks[[#This Row],[_Res4Row]]=0),0,N(Tasks[[#This Row],[_Days]])*HoursPerDay*IF(Tasks[[#This Row],[_Res4Units]]="",DefaultUnits,Tasks[[#This Row],[_Res4Units]]))</f>
        <v>0</v>
      </c>
      <c r="ED103" s="42" t="n">
        <f aca="false">IF(AND(AND(Tasks[[#This Row],[_IsLeaf]]=1,Tasks[[#This Row],[_LeafTotalWork]]&gt;0),Tasks[[#This Row],[_Res4Work]]&gt;0),Tasks[[#This Row],[_Res4Work]]/(Tasks[[#This Row],[_FinishWorkday]]-Tasks[[#This Row],[_StartWorkday]]+1),0)</f>
        <v>0</v>
      </c>
      <c r="EE103" s="42" t="n">
        <f aca="false">Tasks[[#This Row],[_Res4WorkPerWD]]*MAX(0,Tasks[[#This Row],[_StartWorkday]]-1)</f>
        <v>0</v>
      </c>
      <c r="EF103" s="42" t="n">
        <f aca="false">Tasks[[#This Row],[_Res4Work]]*Tasks[[#This Row],[_LeafProgress]]</f>
        <v>0</v>
      </c>
      <c r="EG103" s="42" t="n">
        <f aca="false">IF(ISNUMBER(Tasks[[#This Row],[% Complete]]),Tasks[[#This Row],[% Complete]],IF(Tasks[[#This Row],[Stage]]="",0,IFERROR(INDEX(stg_Pct,MATCH(Tasks[[#This Row],[Stage]],stg_Name,0)),0)))</f>
        <v>0</v>
      </c>
      <c r="EH103" s="42" t="n">
        <f aca="false">IF(NOT(Tasks[[#This Row],[_IsLeaf]]=1),0,IF(N(Tasks[[#This Row],[Actual Finish]])&gt;0,1,MIN(1,Tasks[[#This Row],[_Pct]])))</f>
        <v>0</v>
      </c>
      <c r="EI103" s="42" t="n">
        <f aca="false">IF(OR(NOT(Tasks[[#This Row],[_IsLeaf]]=1),Tasks[[#This Row],[_Res1Row]]=0),0,N(Tasks[[#This Row],[_Days]])*HoursPerDay*IF(Tasks[[#This Row],[_Units1]]="",DefaultUnits,Tasks[[#This Row],[_Units1]]))</f>
        <v>0</v>
      </c>
      <c r="EJ103" s="42" t="n">
        <f aca="false">Tasks[[#This Row],[_LeafWork]]+Tasks[[#This Row],[_Res2Work]]+Tasks[[#This Row],[_Res3Work]]+Tasks[[#This Row],[_Res4Work]]</f>
        <v>0</v>
      </c>
      <c r="EK1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3" s="42" t="n">
        <f aca="false">IF(NOT(Tasks[[#This Row],[_IsLeaf]]=1),0,MAX(_xlfn.MAXIFS(Tasks[_Row],Tasks[_Pred1UID],Tasks[[#This Row],[UID]]),_xlfn.MAXIFS(Tasks[_Row],Tasks[_Pred2UID],Tasks[[#This Row],[UID]]),_xlfn.MAXIFS(Tasks[_Row],Tasks[_Pred3UID],Tasks[[#This Row],[UID]]),_xlfn.MAXIFS(Tasks[_Row],Tasks[_Pred4UID],Tasks[[#This Row],[UID]])))</f>
        <v>0</v>
      </c>
      <c r="ET1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3" s="89" t="str">
        <f aca="false">IF(NOT(Tasks[[#This Row],[_IsLeaf]]=1),"",IF(N(Tasks[[#This Row],[_Days]])&lt;=0,Tasks[[#This Row],[_LeafLateFinish]],WORKDAY.INTL(Tasks[[#This Row],[_LeafLateFinish]],-(Tasks[[#This Row],[_Days]]-1),WorkWeek,Holidays)))</f>
        <v/>
      </c>
      <c r="EW1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3" s="88" t="b">
        <f aca="false">AND(Tasks[[#This Row],[_IsLeaf]]=1,Tasks[[#This Row],[_LeafProgress]]&lt;1,N(Tasks[[#This Row],[_LeafTotalSlack]])&lt;=CriticalSlackDays)</f>
        <v>0</v>
      </c>
      <c r="EY103" s="42" t="n">
        <f aca="false">IF(AND(Tasks[[#This Row],[_IsLeaf]]=1,Tasks[[#This Row],[_ConstraintCode]]=1,Tasks[[#This Row],[Mode]]&lt;&gt;"Manual",N(Tasks[[#This Row],[Actual Start]])=0),MAX(0,N(Tasks[[#This Row],[Free Slack]])),0)</f>
        <v>0</v>
      </c>
      <c r="EZ103" s="89" t="str">
        <f aca="false">IF(NOT(Tasks[[#This Row],[_IsLeaf]]=1),"",IF(Tasks[[#This Row],[_AlapShift]]=0,Tasks[[#This Row],[_LeafCalcStart]],WORKDAY.INTL(Tasks[[#This Row],[_LeafCalcStart]],Tasks[[#This Row],[_AlapShift]],WorkWeek,Holidays)))</f>
        <v/>
      </c>
      <c r="FA103" s="89" t="str">
        <f aca="false">IF(NOT(Tasks[[#This Row],[_IsLeaf]]=1),"",IF(Tasks[[#This Row],[_AlapShift]]=0,Tasks[[#This Row],[_LeafCalcFinish]],WORKDAY.INTL(Tasks[[#This Row],[_LeafCalcFinish]],Tasks[[#This Row],[_AlapShift]],WorkWeek,Holidays)))</f>
        <v/>
      </c>
      <c r="FB103" s="89" t="str">
        <f aca="false">IF(NOT(Tasks[[#This Row],[_IsLeaf]]=1),"",IF(Tasks[[#This Row],[_AlapShift]]=0,Tasks[[#This Row],[_LeafFcstStart]],WORKDAY.INTL(Tasks[[#This Row],[_LeafFcstStart]],Tasks[[#This Row],[_AlapShift]],WorkWeek,Holidays)))</f>
        <v/>
      </c>
      <c r="FC103" s="89" t="str">
        <f aca="false">IF(NOT(Tasks[[#This Row],[_IsLeaf]]=1),"",IF(Tasks[[#This Row],[_AlapShift]]=0,Tasks[[#This Row],[_LeafFcstFinish]],WORKDAY.INTL(Tasks[[#This Row],[_LeafFcstFinish]],Tasks[[#This Row],[_AlapShift]],WorkWeek,Holidays)))</f>
        <v/>
      </c>
      <c r="FD103" s="89" t="str">
        <f aca="false">IF(Tasks[[#This Row],[Task Name]]="","",IF(Tasks[[#This Row],[_IsSummary]],MIN(INDEX(Tasks[_ShownCalcStart],Tasks[[#This Row],[_Row]]+1):INDEX(Tasks[_ShownCalcStart],Tasks[[#This Row],[_Row]]+Tasks[[#This Row],[_Descendants]])),Tasks[[#This Row],[_ShownCalcStart]]))</f>
        <v/>
      </c>
      <c r="FE103" s="89" t="str">
        <f aca="false">IF(Tasks[[#This Row],[Task Name]]="","",IF(Tasks[[#This Row],[_IsSummary]],MAX(INDEX(Tasks[_ShownCalcFinish],Tasks[[#This Row],[_Row]]+1):INDEX(Tasks[_ShownCalcFinish],Tasks[[#This Row],[_Row]]+Tasks[[#This Row],[_Descendants]])),Tasks[[#This Row],[_ShownCalcFinish]]))</f>
        <v/>
      </c>
      <c r="FF1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3" s="42" t="n">
        <f aca="false">IF(AND(Tasks[[#This Row],[_IsLeaf]]=1,Tasks[[#This Row],[_LeafTotalWork]]&gt;0),NETWORKDAYS.INTL(ProjectStart,Tasks[[#This Row],[_ShownFcstStart]],WorkWeek,Holidays),0)</f>
        <v>0</v>
      </c>
      <c r="FS103" s="42" t="n">
        <f aca="false">IF(AND(Tasks[[#This Row],[_IsLeaf]]=1,Tasks[[#This Row],[_LeafTotalWork]]&gt;0),MAX(Tasks[[#This Row],[_StartWorkday]],NETWORKDAYS.INTL(ProjectStart,Tasks[[#This Row],[_ShownFcstFinish]],WorkWeek,Holidays)),0)</f>
        <v>0</v>
      </c>
      <c r="FT103" s="42" t="n">
        <f aca="false">IF(AND(Tasks[[#This Row],[_IsLeaf]]=1,Tasks[[#This Row],[_LeafTotalWork]]&gt;0),Tasks[[#This Row],[_LeafWork]]/(Tasks[[#This Row],[_FinishWorkday]]-Tasks[[#This Row],[_StartWorkday]]+1),0)</f>
        <v>0</v>
      </c>
      <c r="FU103" s="42" t="n">
        <f aca="false">Tasks[[#This Row],[_WorkPerWorkday]]*(Tasks[[#This Row],[_StartWorkday]]-1)</f>
        <v>-0</v>
      </c>
      <c r="FV103" s="42" t="n">
        <f aca="false">IF(Tasks[[#This Row],[_IsLeaf]]=1,MAX(N(Tasks[[#This Row],[_Days]]),0.1),0)</f>
        <v>0</v>
      </c>
      <c r="FW103" s="42" t="n">
        <f aca="false">Tasks[[#This Row],[_WeightDur]]*Tasks[[#This Row],[_LeafProgress]]</f>
        <v>0</v>
      </c>
      <c r="FX103" s="42" t="n">
        <f aca="false">Tasks[[#This Row],[_WeightDur]]*Tasks[[#This Row],[_PlannedPct]]</f>
        <v>0</v>
      </c>
      <c r="FY1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3" s="42" t="str">
        <f aca="false">IF(AND(Tasks[[#This Row],[_IsLeaf]]=1,N(Tasks[[#This Row],[_Days]])=0,Tasks[[#This Row],[_LeafProgress]]&lt;1),Tasks[[#This Row],[_ShownFcstFinish]]+Tasks[[#This Row],[_Row]]/100000,"")</f>
        <v/>
      </c>
      <c r="GA1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3" s="42" t="str">
        <f aca="false">IF(Tasks[[#This Row],[Task Name]]="","",LEFT(Tasks[[#This Row],[WBS]],FIND(".",Tasks[[#This Row],[WBS]]&amp;".")-1))</f>
        <v/>
      </c>
      <c r="GC103" s="42" t="str">
        <f aca="false">IF(AND(Tasks[[#This Row],[Task Name]]&lt;&gt;"",Tasks[[#This Row],[_Level]]=1),Tasks[[#This Row],[_Row]],"")</f>
        <v/>
      </c>
      <c r="GD103" s="42" t="str">
        <f aca="false">IF(AND(Tasks[[#This Row],[_IsLeaf]]=1,N(Tasks[[#This Row],[_Days]])=0),Tasks[[#This Row],[Planned Finish]]+Tasks[[#This Row],[_Row]]/100000,"")</f>
        <v/>
      </c>
      <c r="GE103" s="42" t="str">
        <f aca="false">IF(AND(Tasks[[#This Row],[_IsLeaf]]=1,Tasks[[#This Row],[_LeafProgress]]&lt;1,OR(N(Tasks[[#This Row],[Finish Var]])&gt;0,Tasks[[#This Row],[Status]]="Late Start")),MAX(0,Tasks[[#This Row],[Finish Var]])+1-Tasks[[#This Row],[_Row]]/1000000,"")</f>
        <v/>
      </c>
      <c r="GF103" s="42" t="str">
        <f aca="false">IF(AND(Tasks[[#This Row],[_IsLeaf]]=1,N(Tasks[[#This Row],[Actual Start]])=0,Tasks[[#This Row],[_ShownFcstStart]]&gt;=StatusDate,Tasks[[#This Row],[_ShownFcstStart]]&lt;=LookaheadEnd),Tasks[[#This Row],[_ShownFcstStart]]+Tasks[[#This Row],[_Row]]/100000,"")</f>
        <v/>
      </c>
      <c r="GG103" s="42" t="str">
        <f aca="false">IF(AND(Tasks[[#This Row],[_IsLeaf]]=1,Tasks[[#This Row],[_LeafProgress]]&lt;1,Tasks[[#This Row],[_ShownFcstFinish]]&gt;=StatusDate,Tasks[[#This Row],[_ShownFcstFinish]]&lt;=LookaheadEnd),Tasks[[#This Row],[_ShownFcstFinish]]+Tasks[[#This Row],[_Row]]/100000,"")</f>
        <v/>
      </c>
      <c r="GH103" s="42" t="str">
        <f aca="false">IF(Tasks[[#This Row],[_LeafCritical]],Tasks[[#This Row],[_ShownFcstStart]]+Tasks[[#This Row],[_Row]]/100000,"")</f>
        <v/>
      </c>
      <c r="GI103" s="42" t="n">
        <f aca="false">Tasks[[#This Row],[_LeafWork]]*Tasks[[#This Row],[_LeafProgress]]</f>
        <v>0</v>
      </c>
      <c r="GJ103" s="89" t="str">
        <f aca="false">IF(AND(Tasks[[#This Row],[_IsLeaf]]=1,Tasks[[#This Row],[_LeafProgress]]&gt;=1),IF(N(Tasks[[#This Row],[Actual Finish]])&gt;0,Tasks[[#This Row],[Actual Finish]],Tasks[[#This Row],[_ShownFcstFinish]]),"")</f>
        <v/>
      </c>
      <c r="GK103" s="42" t="n">
        <f aca="false">IF(Tasks[[#This Row],[_IsLeaf]]=1,N(Tasks[[#This Row],[Story Points]]),0)</f>
        <v>0</v>
      </c>
      <c r="GL103" s="42" t="str">
        <f aca="false">""</f>
        <v/>
      </c>
      <c r="GM103" s="88" t="b">
        <f aca="false">IF(Tasks[[#This Row],[Task Name]]="",FALSE(),AND(Tasks[[#This Row],[_IsLeaf]]=1,N(Tasks[[#This Row],[_Days]])=0))</f>
        <v>0</v>
      </c>
      <c r="GN103" s="89" t="n">
        <f aca="false">IF(Tasks[[#This Row],[Task Name]]="",0,IF(AND(Tasks[[#This Row],[_IsLeaf]]=1,NOT(Tasks[[#This Row],[_IsMilestone]]),N(Tasks[[#This Row],[Progress]])&gt;0),Tasks[[#This Row],[Start]],0))</f>
        <v>0</v>
      </c>
      <c r="GO103" s="89" t="n">
        <f aca="false">IF(Tasks[[#This Row],[_DoneFrom]]=0,0,IF(Tasks[[#This Row],[Progress]]&gt;=1,Tasks[[#This Row],[Finish]],MAX(Tasks[[#This Row],[_DoneFrom]],Tasks[[#This Row],[Start]]+ROUND((Tasks[[#This Row],[Finish]]-Tasks[[#This Row],[Start]]+1)*Tasks[[#This Row],[Progress]],0)-1)))</f>
        <v>0</v>
      </c>
      <c r="GP103" s="89" t="n">
        <f aca="false">IF(Tasks[[#This Row],[Task Name]]="",0,IF(OR(NOT(Tasks[[#This Row],[_IsLeaf]]=1),Tasks[[#This Row],[_IsMilestone]],N(Tasks[[#This Row],[Progress]])&gt;=1),0,IF(Tasks[[#This Row],[_DoneTo]]&gt;0,Tasks[[#This Row],[_DoneTo]]+1,Tasks[[#This Row],[Start]])))</f>
        <v>0</v>
      </c>
      <c r="GQ103" s="89" t="n">
        <f aca="false">IF(Tasks[[#This Row],[_RemFrom]]=0,0,Tasks[[#This Row],[Finish]])</f>
        <v>0</v>
      </c>
      <c r="GR103" s="88" t="b">
        <f aca="false">IF(Tasks[[#This Row],[Task Name]]="",FALSE(),OR(NOT(BaselineSet),N(Tasks[[#This Row],[Baseline Start]])&gt;0))</f>
        <v>0</v>
      </c>
      <c r="GS1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3" s="90" t="str">
        <f aca="false">IF(Tasks[[#This Row],[_IsLeaf]]=1,Tasks[[#This Row],[_Row]],"")</f>
        <v/>
      </c>
      <c r="GW103" s="90" t="str">
        <f aca="false">IFERROR(INDEX(Tasks[UID],SMALL(Tasks[_PickKey],Tasks[[#This Row],[_Row]]))&amp;" "&amp;INDEX(Tasks[Task Name],SMALL(Tasks[_PickKey],Tasks[[#This Row],[_Row]])),"")</f>
        <v/>
      </c>
      <c r="GX103" s="42" t="str">
        <f aca="false">IF(Tasks[[#This Row],[Task Name]]="","",IF(Tasks[[#This Row],[_IsSummary]],NETWORKDAYS.INTL(Tasks[[#This Row],[Start]],Tasks[[#This Row],[Finish]],WorkWeek,Holidays),N(Tasks[[#This Row],[_Days]])))</f>
        <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3"/>
      <c r="U104" s="23"/>
      <c r="V104" s="83"/>
      <c r="W104" s="23"/>
      <c r="X104" s="83"/>
      <c r="Y104" s="23"/>
      <c r="Z104" s="83"/>
      <c r="AA104" s="23"/>
      <c r="AB104" s="23"/>
      <c r="AC104" s="7"/>
      <c r="AD104" s="7"/>
      <c r="AE104" s="62" t="str">
        <f aca="false">IF(Tasks[[#This Row],[Task Name]]="","",IF(Tasks[[#This Row],[_IsSummary]],MIN(INDEX(Tasks[_ShownFcstStart],Tasks[[#This Row],[_Row]]+1):INDEX(Tasks[_ShownFcstStart],Tasks[[#This Row],[_Row]]+Tasks[[#This Row],[_Descendants]])),Tasks[[#This Row],[_ShownFcstStart]]))</f>
        <v/>
      </c>
      <c r="AF104" s="62"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4" s="7"/>
      <c r="AK104" s="22"/>
      <c r="AL104" s="23"/>
      <c r="AM104" s="7"/>
      <c r="AN104" s="46"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2" t="str">
        <f aca="false">IF(Tasks[[#This Row],[Task Name]]="","",IF(N(Tasks[[#This Row],[Baseline Start]])&gt;0,Tasks[[#This Row],[Baseline Start]],Tasks[[#This Row],[_CalcStart]]))</f>
        <v/>
      </c>
      <c r="AR104" s="62" t="str">
        <f aca="false">IF(Tasks[[#This Row],[Task Name]]="","",IF(N(Tasks[[#This Row],[Baseline Finish]])&gt;0,Tasks[[#This Row],[Baseline Finish]],Tasks[[#This Row],[_CalcFinish]]))</f>
        <v/>
      </c>
      <c r="AS104" s="46" t="str">
        <f aca="false">IF(Tasks[[#This Row],[Task Name]]="","",IF(Tasks[[#This Row],[Start]]&gt;=Tasks[[#This Row],[Planned Start]],NETWORKDAYS.INTL(Tasks[[#This Row],[Planned Start]],Tasks[[#This Row],[Start]],WorkWeek,Holidays)-1,1-NETWORKDAYS.INTL(Tasks[[#This Row],[Start]],Tasks[[#This Row],[Planned Start]],WorkWeek,Holidays)))</f>
        <v/>
      </c>
      <c r="AT104" s="62" t="str">
        <f aca="false">IF(Tasks[[#This Row],[Task Name]]="","",IF(Tasks[[#This Row],[_IsSummary]],MIN(INDEX(Tasks[_LeafLateStart],Tasks[[#This Row],[_Row]]+1):INDEX(Tasks[_LeafLateStart],Tasks[[#This Row],[_Row]]+Tasks[[#This Row],[_Descendants]])),Tasks[[#This Row],[_LeafLateStart]]))</f>
        <v/>
      </c>
      <c r="AU104" s="62" t="str">
        <f aca="false">IF(Tasks[[#This Row],[Task Name]]="","",IF(Tasks[[#This Row],[_IsSummary]],MAX(INDEX(Tasks[_LeafLateFinish],Tasks[[#This Row],[_Row]]+1):INDEX(Tasks[_LeafLateFinish],Tasks[[#This Row],[_Row]]+Tasks[[#This Row],[_Descendants]])),Tasks[[#This Row],[_LeafLateFinish]]))</f>
        <v/>
      </c>
      <c r="AV104" s="46"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4"/>
      <c r="BA1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5"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6"/>
      <c r="BJ104" s="22"/>
      <c r="BK104" s="46" t="str">
        <f aca="false">IF(OR(Tasks[[#This Row],[Task Name]]="",Tasks[[#This Row],[Baseline Duration]]=""),"",Tasks[[#This Row],[_SpanDays]]-N(Tasks[[#This Row],[Baseline Duration]]))</f>
        <v/>
      </c>
      <c r="BL104" s="85" t="str">
        <f aca="false">IF(OR(Tasks[[#This Row],[Task Name]]="",Tasks[[#This Row],[Baseline Work]]=""),"",Tasks[[#This Row],[Work]]-N(Tasks[[#This Row],[Baseline Work]]))</f>
        <v/>
      </c>
      <c r="BM104" s="62" t="str">
        <f aca="false">IF(Tasks[[#This Row],[Task Name]]="","",IF(OR(TakeBaseline="Yes",N(Tasks[[#This Row],[Baseline Start]])=0),Tasks[[#This Row],[Start]],Tasks[[#This Row],[Baseline Start]]))</f>
        <v/>
      </c>
      <c r="BN104" s="62"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5" t="str">
        <f aca="false">IF(Tasks[[#This Row],[Task Name]]="","",IF(OR(TakeBaseline="Yes",N(Tasks[[#This Row],[Baseline Work]])=0),Tasks[[#This Row],[Work]],Tasks[[#This Row],[Baseline Work]]))</f>
        <v/>
      </c>
      <c r="BQ104" s="7"/>
      <c r="BR104" s="7"/>
      <c r="BS104" s="22"/>
      <c r="BT104" s="87"/>
      <c r="BU104" s="42" t="str">
        <f aca="false">IF(Tasks[[#This Row],[Task Name]]="","",MAX(1,N(Tasks[[#This Row],[Level]])))</f>
        <v/>
      </c>
      <c r="BV104" s="42" t="n">
        <f aca="false">ROW()-ROW(Tasks[[#Headers],[ID]])</f>
        <v>99</v>
      </c>
      <c r="BW104" s="42" t="n">
        <f aca="false">IF(OR(Tasks[[#This Row],[Task Name]]="",Tasks[[#This Row],[_Level]]&lt;=1),0,IFERROR(LOOKUP(2,1/(Tasks[[#Headers],[_Level]]:Tasks[[#This Row],[_Level]]=Tasks[[#This Row],[_Level]]-1),ROW(Tasks[[#Headers],[_Level]]:Tasks[[#This Row],[_Level]])),0))</f>
        <v>0</v>
      </c>
      <c r="BX104" s="42" t="n">
        <f aca="false">IFERROR(N(INDEX(Tasks[_Level],Tasks[[#This Row],[_Row]]+1)),0)</f>
        <v>0</v>
      </c>
      <c r="BY104" s="88" t="b">
        <f aca="false">AND(Tasks[[#This Row],[Task Name]]&lt;&gt;"",Tasks[[#This Row],[_NextLevel]]&gt;Tasks[[#This Row],[_Level]])</f>
        <v>0</v>
      </c>
      <c r="BZ104" s="42" t="n">
        <f aca="false">IF(Tasks[[#This Row],[_IsSummary]],COUNTIF(Tasks[WBS],Tasks[[#This Row],[WBS]]&amp;".*"),0)</f>
        <v>0</v>
      </c>
      <c r="CA104" s="42" t="n">
        <f aca="false">IF(AND(Tasks[[#This Row],[Task Name]]&lt;&gt;"",NOT(Tasks[[#This Row],[_IsSummary]])),1,0)</f>
        <v>0</v>
      </c>
      <c r="CB104" s="42" t="n">
        <f aca="false">IF(N(Tasks[[#This Row],[_Pred1UID]])=0,0,IFERROR(MATCH(Tasks[[#This Row],[_Pred1UID]],Tasks[UID],0),-1))</f>
        <v>0</v>
      </c>
      <c r="CC104" s="42" t="n">
        <f aca="false">IF(N(Tasks[[#This Row],[_Pred2UID]])=0,0,IFERROR(MATCH(Tasks[[#This Row],[_Pred2UID]],Tasks[UID],0),-1))</f>
        <v>0</v>
      </c>
      <c r="CD104" s="42" t="n">
        <f aca="false">IF(N(Tasks[[#This Row],[_Pred3UID]])=0,0,IFERROR(MATCH(Tasks[[#This Row],[_Pred3UID]],Tasks[UID],0),-1))</f>
        <v>0</v>
      </c>
      <c r="CE104" s="42" t="n">
        <f aca="false">IF(N(Tasks[[#This Row],[_Pred4UID]])=0,0,IFERROR(MATCH(Tasks[[#This Row],[_Pred4UID]],Tasks[UID],0),-1))</f>
        <v>0</v>
      </c>
      <c r="CF1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4" s="89" t="n">
        <f aca="false">IF(OR(Tasks[[#This Row],[_ConstraintCode]]=2,Tasks[[#This Row],[_ConstraintCode]]=3,Tasks[[#This Row],[_ConstraintCode]]=4,Tasks[[#This Row],[_ConstraintCode]]=6),Tasks[[#This Row],[_ConstraintStart]],0)</f>
        <v>0</v>
      </c>
      <c r="CI104" s="89" t="n">
        <f aca="false">IF(OR(Tasks[[#This Row],[_ConstraintCode]]=2,Tasks[[#This Row],[_ConstraintCode]]=3,Tasks[[#This Row],[_ConstraintCode]]=5,Tasks[[#This Row],[_ConstraintCode]]=7),Tasks[[#This Row],[_ConstraintStart]],2958465)</f>
        <v>2958465</v>
      </c>
      <c r="CJ1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4" s="89" t="str">
        <f aca="false">IF(NOT(Tasks[[#This Row],[_IsLeaf]]=1),"",IF(N(Tasks[[#This Row],[_Days]])&lt;=0,Tasks[[#This Row],[_LeafCalcStart]],WORKDAY.INTL(Tasks[[#This Row],[_LeafCalcStart]],Tasks[[#This Row],[_Days]]-1,WorkWeek,Holidays)))</f>
        <v/>
      </c>
      <c r="CL1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4" s="42" t="str">
        <f aca="false">IF(Tasks[[#This Row],[_Predecessors]]="","",TRIM(MID(SUBSTITUTE(SUBSTITUTE(SUBSTITUTE(UPPER(Tasks[[#This Row],[_Predecessors]]),";",",")," ",""),",",REPT(" ",99)),1,99)))</f>
        <v/>
      </c>
      <c r="CO104" s="42" t="str">
        <f aca="false">IF(Tasks[[#This Row],[_Pred1Text]]="","",IFERROR(VALUE(LEFT(Tasks[[#This Row],[_Pred1Text]],MIN(FIND("F",Tasks[[#This Row],[_Pred1Text]]&amp;"F"),FIND("S",Tasks[[#This Row],[_Pred1Text]]&amp;"S"),FIND("+",Tasks[[#This Row],[_Pred1Text]]&amp;"+"),FIND("-",Tasks[[#This Row],[_Pred1Text]]&amp;"-"))-1)),""))</f>
        <v/>
      </c>
      <c r="CP1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4" s="42" t="str">
        <f aca="false">IF(Tasks[[#This Row],[_Pred1Text]]="","",TRIM(MID(SUBSTITUTE(SUBSTITUTE(SUBSTITUTE(UPPER(Tasks[[#This Row],[_Predecessors]]),";",",")," ",""),",",REPT(" ",99)),100,99)))</f>
        <v/>
      </c>
      <c r="CS104" s="42" t="str">
        <f aca="false">IF(Tasks[[#This Row],[_Pred2Text]]="","",IFERROR(VALUE(LEFT(Tasks[[#This Row],[_Pred2Text]],MIN(FIND("F",Tasks[[#This Row],[_Pred2Text]]&amp;"F"),FIND("S",Tasks[[#This Row],[_Pred2Text]]&amp;"S"),FIND("+",Tasks[[#This Row],[_Pred2Text]]&amp;"+"),FIND("-",Tasks[[#This Row],[_Pred2Text]]&amp;"-"))-1)),""))</f>
        <v/>
      </c>
      <c r="CT1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4" s="42" t="str">
        <f aca="false">IF(Tasks[[#This Row],[_Pred2Text]]="","",TRIM(MID(SUBSTITUTE(SUBSTITUTE(SUBSTITUTE(UPPER(Tasks[[#This Row],[_Predecessors]]),";",",")," ",""),",",REPT(" ",99)),199,99)))</f>
        <v/>
      </c>
      <c r="CW104" s="42" t="str">
        <f aca="false">IF(Tasks[[#This Row],[_Pred3Text]]="","",IFERROR(VALUE(LEFT(Tasks[[#This Row],[_Pred3Text]],MIN(FIND("F",Tasks[[#This Row],[_Pred3Text]]&amp;"F"),FIND("S",Tasks[[#This Row],[_Pred3Text]]&amp;"S"),FIND("+",Tasks[[#This Row],[_Pred3Text]]&amp;"+"),FIND("-",Tasks[[#This Row],[_Pred3Text]]&amp;"-"))-1)),""))</f>
        <v/>
      </c>
      <c r="CX1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4" s="42" t="str">
        <f aca="false">IF(Tasks[[#This Row],[_Pred3Text]]="","",TRIM(MID(SUBSTITUTE(SUBSTITUTE(SUBSTITUTE(UPPER(Tasks[[#This Row],[_Predecessors]]),";",",")," ",""),",",REPT(" ",99)),298,99)))</f>
        <v/>
      </c>
      <c r="DA104" s="42" t="str">
        <f aca="false">IF(Tasks[[#This Row],[_Pred4Text]]="","",IFERROR(VALUE(LEFT(Tasks[[#This Row],[_Pred4Text]],MIN(FIND("F",Tasks[[#This Row],[_Pred4Text]]&amp;"F"),FIND("S",Tasks[[#This Row],[_Pred4Text]]&amp;"S"),FIND("+",Tasks[[#This Row],[_Pred4Text]]&amp;"+"),FIND("-",Tasks[[#This Row],[_Pred4Text]]&amp;"-"))-1)),""))</f>
        <v/>
      </c>
      <c r="DB1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4" s="42" t="str">
        <f aca="false">IF(OR(Tasks[[#This Row],[Task Name]]="",Tasks[[#This Row],[_Resources]]=""),"",TRIM(MID(SUBSTITUTE(Tasks[[#This Row],[_Resources]],",",REPT(" ",99)),1,99)))</f>
        <v/>
      </c>
      <c r="DE104" s="42" t="str">
        <f aca="false">IF(Tasks[[#This Row],[_Res1Text]]="","",TRIM(MID(SUBSTITUTE(Tasks[[#This Row],[_Resources]],",",REPT(" ",99)),100,99)))</f>
        <v/>
      </c>
      <c r="DF104" s="42" t="str">
        <f aca="false">IF(Tasks[[#This Row],[_Res2Text]]="","",TRIM(MID(SUBSTITUTE(Tasks[[#This Row],[_Resources]],",",REPT(" ",99)),199,99)))</f>
        <v/>
      </c>
      <c r="DG104" s="42" t="str">
        <f aca="false">IF(Tasks[[#This Row],[_Res3Text]]="","",TRIM(MID(SUBSTITUTE(Tasks[[#This Row],[_Resources]],",",REPT(" ",99)),298,99)))</f>
        <v/>
      </c>
      <c r="DH104" s="42" t="n">
        <f aca="false">IF(Tasks[[#This Row],[_Res1Text]]="",0,IFERROR(MATCH(TRIM(LEFT(Tasks[[#This Row],[_Res1Text]],FIND("[",Tasks[[#This Row],[_Res1Text]]&amp;"[")-1)),res_Name,0),IFERROR(MATCH(TRIM(LEFT(Tasks[[#This Row],[_Res1Text]],FIND("[",Tasks[[#This Row],[_Res1Text]]&amp;"[")-1)),res_Initials,0),0)))</f>
        <v>0</v>
      </c>
      <c r="DI104" s="42" t="n">
        <f aca="false">IF(Tasks[[#This Row],[_Res2Text]]="",0,IFERROR(MATCH(TRIM(LEFT(Tasks[[#This Row],[_Res2Text]],FIND("[",Tasks[[#This Row],[_Res2Text]]&amp;"[")-1)),res_Name,0),IFERROR(MATCH(TRIM(LEFT(Tasks[[#This Row],[_Res2Text]],FIND("[",Tasks[[#This Row],[_Res2Text]]&amp;"[")-1)),res_Initials,0),0)))</f>
        <v>0</v>
      </c>
      <c r="DJ104" s="42" t="n">
        <f aca="false">IF(Tasks[[#This Row],[_Res3Text]]="",0,IFERROR(MATCH(TRIM(LEFT(Tasks[[#This Row],[_Res3Text]],FIND("[",Tasks[[#This Row],[_Res3Text]]&amp;"[")-1)),res_Name,0),IFERROR(MATCH(TRIM(LEFT(Tasks[[#This Row],[_Res3Text]],FIND("[",Tasks[[#This Row],[_Res3Text]]&amp;"[")-1)),res_Initials,0),0)))</f>
        <v>0</v>
      </c>
      <c r="DK104" s="42" t="n">
        <f aca="false">IF(Tasks[[#This Row],[_Res4Text]]="",0,IFERROR(MATCH(TRIM(LEFT(Tasks[[#This Row],[_Res4Text]],FIND("[",Tasks[[#This Row],[_Res4Text]]&amp;"[")-1)),res_Name,0),IFERROR(MATCH(TRIM(LEFT(Tasks[[#This Row],[_Res4Text]],FIND("[",Tasks[[#This Row],[_Res4Text]]&amp;"[")-1)),res_Initials,0),0)))</f>
        <v>0</v>
      </c>
      <c r="DL104" s="42" t="str">
        <f aca="false">IF(Tasks[[#This Row],[_Res1Text]]="","",IF(Tasks[[#This Row],[_Res1Row]]&gt;0,INDEX(res_Name,Tasks[[#This Row],[_Res1Row]]),TRIM(LEFT(Tasks[[#This Row],[_Res1Text]],FIND("[",Tasks[[#This Row],[_Res1Text]]&amp;"[")-1))))</f>
        <v/>
      </c>
      <c r="DM1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4" s="42" t="n">
        <f aca="false">IF(NOT(Tasks[[#This Row],[_IsLeaf]]=1),0,(Tasks[[#This Row],[_Resource1]]&lt;&gt;"")+(Tasks[[#This Row],[_Res2]]&lt;&gt;"")+(Tasks[[#This Row],[_Res3]]&lt;&gt;"")+(Tasks[[#This Row],[_Res4]]&lt;&gt;""))</f>
        <v>0</v>
      </c>
      <c r="DO104" s="42" t="str">
        <f aca="false">IF(Tasks[[#This Row],[_Res2Text]]="","",IF(Tasks[[#This Row],[_Res2Row]]&gt;0,INDEX(res_Name,Tasks[[#This Row],[_Res2Row]]),TRIM(LEFT(Tasks[[#This Row],[_Res2Text]],FIND("[",Tasks[[#This Row],[_Res2Text]]&amp;"[")-1))))</f>
        <v/>
      </c>
      <c r="DP1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4" s="42" t="n">
        <f aca="false">IF(OR(NOT(Tasks[[#This Row],[_IsLeaf]]=1),Tasks[[#This Row],[_Res2Row]]=0),0,N(Tasks[[#This Row],[_Days]])*HoursPerDay*IF(Tasks[[#This Row],[_Res2Units]]="",DefaultUnits,Tasks[[#This Row],[_Res2Units]]))</f>
        <v>0</v>
      </c>
      <c r="DR104" s="42" t="n">
        <f aca="false">IF(AND(AND(Tasks[[#This Row],[_IsLeaf]]=1,Tasks[[#This Row],[_LeafTotalWork]]&gt;0),Tasks[[#This Row],[_Res2Work]]&gt;0),Tasks[[#This Row],[_Res2Work]]/(Tasks[[#This Row],[_FinishWorkday]]-Tasks[[#This Row],[_StartWorkday]]+1),0)</f>
        <v>0</v>
      </c>
      <c r="DS104" s="42" t="n">
        <f aca="false">Tasks[[#This Row],[_Res2WorkPerWD]]*MAX(0,Tasks[[#This Row],[_StartWorkday]]-1)</f>
        <v>0</v>
      </c>
      <c r="DT104" s="42" t="n">
        <f aca="false">Tasks[[#This Row],[_Res2Work]]*Tasks[[#This Row],[_LeafProgress]]</f>
        <v>0</v>
      </c>
      <c r="DU104" s="42" t="str">
        <f aca="false">IF(Tasks[[#This Row],[_Res3Text]]="","",IF(Tasks[[#This Row],[_Res3Row]]&gt;0,INDEX(res_Name,Tasks[[#This Row],[_Res3Row]]),TRIM(LEFT(Tasks[[#This Row],[_Res3Text]],FIND("[",Tasks[[#This Row],[_Res3Text]]&amp;"[")-1))))</f>
        <v/>
      </c>
      <c r="DV1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4" s="42" t="n">
        <f aca="false">IF(OR(NOT(Tasks[[#This Row],[_IsLeaf]]=1),Tasks[[#This Row],[_Res3Row]]=0),0,N(Tasks[[#This Row],[_Days]])*HoursPerDay*IF(Tasks[[#This Row],[_Res3Units]]="",DefaultUnits,Tasks[[#This Row],[_Res3Units]]))</f>
        <v>0</v>
      </c>
      <c r="DX104" s="42" t="n">
        <f aca="false">IF(AND(AND(Tasks[[#This Row],[_IsLeaf]]=1,Tasks[[#This Row],[_LeafTotalWork]]&gt;0),Tasks[[#This Row],[_Res3Work]]&gt;0),Tasks[[#This Row],[_Res3Work]]/(Tasks[[#This Row],[_FinishWorkday]]-Tasks[[#This Row],[_StartWorkday]]+1),0)</f>
        <v>0</v>
      </c>
      <c r="DY104" s="42" t="n">
        <f aca="false">Tasks[[#This Row],[_Res3WorkPerWD]]*MAX(0,Tasks[[#This Row],[_StartWorkday]]-1)</f>
        <v>0</v>
      </c>
      <c r="DZ104" s="42" t="n">
        <f aca="false">Tasks[[#This Row],[_Res3Work]]*Tasks[[#This Row],[_LeafProgress]]</f>
        <v>0</v>
      </c>
      <c r="EA104" s="42" t="str">
        <f aca="false">IF(Tasks[[#This Row],[_Res4Text]]="","",IF(Tasks[[#This Row],[_Res4Row]]&gt;0,INDEX(res_Name,Tasks[[#This Row],[_Res4Row]]),TRIM(LEFT(Tasks[[#This Row],[_Res4Text]],FIND("[",Tasks[[#This Row],[_Res4Text]]&amp;"[")-1))))</f>
        <v/>
      </c>
      <c r="EB1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4" s="42" t="n">
        <f aca="false">IF(OR(NOT(Tasks[[#This Row],[_IsLeaf]]=1),Tasks[[#This Row],[_Res4Row]]=0),0,N(Tasks[[#This Row],[_Days]])*HoursPerDay*IF(Tasks[[#This Row],[_Res4Units]]="",DefaultUnits,Tasks[[#This Row],[_Res4Units]]))</f>
        <v>0</v>
      </c>
      <c r="ED104" s="42" t="n">
        <f aca="false">IF(AND(AND(Tasks[[#This Row],[_IsLeaf]]=1,Tasks[[#This Row],[_LeafTotalWork]]&gt;0),Tasks[[#This Row],[_Res4Work]]&gt;0),Tasks[[#This Row],[_Res4Work]]/(Tasks[[#This Row],[_FinishWorkday]]-Tasks[[#This Row],[_StartWorkday]]+1),0)</f>
        <v>0</v>
      </c>
      <c r="EE104" s="42" t="n">
        <f aca="false">Tasks[[#This Row],[_Res4WorkPerWD]]*MAX(0,Tasks[[#This Row],[_StartWorkday]]-1)</f>
        <v>0</v>
      </c>
      <c r="EF104" s="42" t="n">
        <f aca="false">Tasks[[#This Row],[_Res4Work]]*Tasks[[#This Row],[_LeafProgress]]</f>
        <v>0</v>
      </c>
      <c r="EG104" s="42" t="n">
        <f aca="false">IF(ISNUMBER(Tasks[[#This Row],[% Complete]]),Tasks[[#This Row],[% Complete]],IF(Tasks[[#This Row],[Stage]]="",0,IFERROR(INDEX(stg_Pct,MATCH(Tasks[[#This Row],[Stage]],stg_Name,0)),0)))</f>
        <v>0</v>
      </c>
      <c r="EH104" s="42" t="n">
        <f aca="false">IF(NOT(Tasks[[#This Row],[_IsLeaf]]=1),0,IF(N(Tasks[[#This Row],[Actual Finish]])&gt;0,1,MIN(1,Tasks[[#This Row],[_Pct]])))</f>
        <v>0</v>
      </c>
      <c r="EI104" s="42" t="n">
        <f aca="false">IF(OR(NOT(Tasks[[#This Row],[_IsLeaf]]=1),Tasks[[#This Row],[_Res1Row]]=0),0,N(Tasks[[#This Row],[_Days]])*HoursPerDay*IF(Tasks[[#This Row],[_Units1]]="",DefaultUnits,Tasks[[#This Row],[_Units1]]))</f>
        <v>0</v>
      </c>
      <c r="EJ104" s="42" t="n">
        <f aca="false">Tasks[[#This Row],[_LeafWork]]+Tasks[[#This Row],[_Res2Work]]+Tasks[[#This Row],[_Res3Work]]+Tasks[[#This Row],[_Res4Work]]</f>
        <v>0</v>
      </c>
      <c r="EK1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4" s="42" t="n">
        <f aca="false">IF(NOT(Tasks[[#This Row],[_IsLeaf]]=1),0,MAX(_xlfn.MAXIFS(Tasks[_Row],Tasks[_Pred1UID],Tasks[[#This Row],[UID]]),_xlfn.MAXIFS(Tasks[_Row],Tasks[_Pred2UID],Tasks[[#This Row],[UID]]),_xlfn.MAXIFS(Tasks[_Row],Tasks[_Pred3UID],Tasks[[#This Row],[UID]]),_xlfn.MAXIFS(Tasks[_Row],Tasks[_Pred4UID],Tasks[[#This Row],[UID]])))</f>
        <v>0</v>
      </c>
      <c r="ET1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4" s="89" t="str">
        <f aca="false">IF(NOT(Tasks[[#This Row],[_IsLeaf]]=1),"",IF(N(Tasks[[#This Row],[_Days]])&lt;=0,Tasks[[#This Row],[_LeafLateFinish]],WORKDAY.INTL(Tasks[[#This Row],[_LeafLateFinish]],-(Tasks[[#This Row],[_Days]]-1),WorkWeek,Holidays)))</f>
        <v/>
      </c>
      <c r="EW1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4" s="88" t="b">
        <f aca="false">AND(Tasks[[#This Row],[_IsLeaf]]=1,Tasks[[#This Row],[_LeafProgress]]&lt;1,N(Tasks[[#This Row],[_LeafTotalSlack]])&lt;=CriticalSlackDays)</f>
        <v>0</v>
      </c>
      <c r="EY104" s="42" t="n">
        <f aca="false">IF(AND(Tasks[[#This Row],[_IsLeaf]]=1,Tasks[[#This Row],[_ConstraintCode]]=1,Tasks[[#This Row],[Mode]]&lt;&gt;"Manual",N(Tasks[[#This Row],[Actual Start]])=0),MAX(0,N(Tasks[[#This Row],[Free Slack]])),0)</f>
        <v>0</v>
      </c>
      <c r="EZ104" s="89" t="str">
        <f aca="false">IF(NOT(Tasks[[#This Row],[_IsLeaf]]=1),"",IF(Tasks[[#This Row],[_AlapShift]]=0,Tasks[[#This Row],[_LeafCalcStart]],WORKDAY.INTL(Tasks[[#This Row],[_LeafCalcStart]],Tasks[[#This Row],[_AlapShift]],WorkWeek,Holidays)))</f>
        <v/>
      </c>
      <c r="FA104" s="89" t="str">
        <f aca="false">IF(NOT(Tasks[[#This Row],[_IsLeaf]]=1),"",IF(Tasks[[#This Row],[_AlapShift]]=0,Tasks[[#This Row],[_LeafCalcFinish]],WORKDAY.INTL(Tasks[[#This Row],[_LeafCalcFinish]],Tasks[[#This Row],[_AlapShift]],WorkWeek,Holidays)))</f>
        <v/>
      </c>
      <c r="FB104" s="89" t="str">
        <f aca="false">IF(NOT(Tasks[[#This Row],[_IsLeaf]]=1),"",IF(Tasks[[#This Row],[_AlapShift]]=0,Tasks[[#This Row],[_LeafFcstStart]],WORKDAY.INTL(Tasks[[#This Row],[_LeafFcstStart]],Tasks[[#This Row],[_AlapShift]],WorkWeek,Holidays)))</f>
        <v/>
      </c>
      <c r="FC104" s="89" t="str">
        <f aca="false">IF(NOT(Tasks[[#This Row],[_IsLeaf]]=1),"",IF(Tasks[[#This Row],[_AlapShift]]=0,Tasks[[#This Row],[_LeafFcstFinish]],WORKDAY.INTL(Tasks[[#This Row],[_LeafFcstFinish]],Tasks[[#This Row],[_AlapShift]],WorkWeek,Holidays)))</f>
        <v/>
      </c>
      <c r="FD104" s="89" t="str">
        <f aca="false">IF(Tasks[[#This Row],[Task Name]]="","",IF(Tasks[[#This Row],[_IsSummary]],MIN(INDEX(Tasks[_ShownCalcStart],Tasks[[#This Row],[_Row]]+1):INDEX(Tasks[_ShownCalcStart],Tasks[[#This Row],[_Row]]+Tasks[[#This Row],[_Descendants]])),Tasks[[#This Row],[_ShownCalcStart]]))</f>
        <v/>
      </c>
      <c r="FE104" s="89" t="str">
        <f aca="false">IF(Tasks[[#This Row],[Task Name]]="","",IF(Tasks[[#This Row],[_IsSummary]],MAX(INDEX(Tasks[_ShownCalcFinish],Tasks[[#This Row],[_Row]]+1):INDEX(Tasks[_ShownCalcFinish],Tasks[[#This Row],[_Row]]+Tasks[[#This Row],[_Descendants]])),Tasks[[#This Row],[_ShownCalcFinish]]))</f>
        <v/>
      </c>
      <c r="FF1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4" s="42" t="n">
        <f aca="false">IF(AND(Tasks[[#This Row],[_IsLeaf]]=1,Tasks[[#This Row],[_LeafTotalWork]]&gt;0),NETWORKDAYS.INTL(ProjectStart,Tasks[[#This Row],[_ShownFcstStart]],WorkWeek,Holidays),0)</f>
        <v>0</v>
      </c>
      <c r="FS104" s="42" t="n">
        <f aca="false">IF(AND(Tasks[[#This Row],[_IsLeaf]]=1,Tasks[[#This Row],[_LeafTotalWork]]&gt;0),MAX(Tasks[[#This Row],[_StartWorkday]],NETWORKDAYS.INTL(ProjectStart,Tasks[[#This Row],[_ShownFcstFinish]],WorkWeek,Holidays)),0)</f>
        <v>0</v>
      </c>
      <c r="FT104" s="42" t="n">
        <f aca="false">IF(AND(Tasks[[#This Row],[_IsLeaf]]=1,Tasks[[#This Row],[_LeafTotalWork]]&gt;0),Tasks[[#This Row],[_LeafWork]]/(Tasks[[#This Row],[_FinishWorkday]]-Tasks[[#This Row],[_StartWorkday]]+1),0)</f>
        <v>0</v>
      </c>
      <c r="FU104" s="42" t="n">
        <f aca="false">Tasks[[#This Row],[_WorkPerWorkday]]*(Tasks[[#This Row],[_StartWorkday]]-1)</f>
        <v>-0</v>
      </c>
      <c r="FV104" s="42" t="n">
        <f aca="false">IF(Tasks[[#This Row],[_IsLeaf]]=1,MAX(N(Tasks[[#This Row],[_Days]]),0.1),0)</f>
        <v>0</v>
      </c>
      <c r="FW104" s="42" t="n">
        <f aca="false">Tasks[[#This Row],[_WeightDur]]*Tasks[[#This Row],[_LeafProgress]]</f>
        <v>0</v>
      </c>
      <c r="FX104" s="42" t="n">
        <f aca="false">Tasks[[#This Row],[_WeightDur]]*Tasks[[#This Row],[_PlannedPct]]</f>
        <v>0</v>
      </c>
      <c r="FY1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4" s="42" t="str">
        <f aca="false">IF(AND(Tasks[[#This Row],[_IsLeaf]]=1,N(Tasks[[#This Row],[_Days]])=0,Tasks[[#This Row],[_LeafProgress]]&lt;1),Tasks[[#This Row],[_ShownFcstFinish]]+Tasks[[#This Row],[_Row]]/100000,"")</f>
        <v/>
      </c>
      <c r="GA1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4" s="42" t="str">
        <f aca="false">IF(Tasks[[#This Row],[Task Name]]="","",LEFT(Tasks[[#This Row],[WBS]],FIND(".",Tasks[[#This Row],[WBS]]&amp;".")-1))</f>
        <v/>
      </c>
      <c r="GC104" s="42" t="str">
        <f aca="false">IF(AND(Tasks[[#This Row],[Task Name]]&lt;&gt;"",Tasks[[#This Row],[_Level]]=1),Tasks[[#This Row],[_Row]],"")</f>
        <v/>
      </c>
      <c r="GD104" s="42" t="str">
        <f aca="false">IF(AND(Tasks[[#This Row],[_IsLeaf]]=1,N(Tasks[[#This Row],[_Days]])=0),Tasks[[#This Row],[Planned Finish]]+Tasks[[#This Row],[_Row]]/100000,"")</f>
        <v/>
      </c>
      <c r="GE104" s="42" t="str">
        <f aca="false">IF(AND(Tasks[[#This Row],[_IsLeaf]]=1,Tasks[[#This Row],[_LeafProgress]]&lt;1,OR(N(Tasks[[#This Row],[Finish Var]])&gt;0,Tasks[[#This Row],[Status]]="Late Start")),MAX(0,Tasks[[#This Row],[Finish Var]])+1-Tasks[[#This Row],[_Row]]/1000000,"")</f>
        <v/>
      </c>
      <c r="GF104" s="42" t="str">
        <f aca="false">IF(AND(Tasks[[#This Row],[_IsLeaf]]=1,N(Tasks[[#This Row],[Actual Start]])=0,Tasks[[#This Row],[_ShownFcstStart]]&gt;=StatusDate,Tasks[[#This Row],[_ShownFcstStart]]&lt;=LookaheadEnd),Tasks[[#This Row],[_ShownFcstStart]]+Tasks[[#This Row],[_Row]]/100000,"")</f>
        <v/>
      </c>
      <c r="GG104" s="42" t="str">
        <f aca="false">IF(AND(Tasks[[#This Row],[_IsLeaf]]=1,Tasks[[#This Row],[_LeafProgress]]&lt;1,Tasks[[#This Row],[_ShownFcstFinish]]&gt;=StatusDate,Tasks[[#This Row],[_ShownFcstFinish]]&lt;=LookaheadEnd),Tasks[[#This Row],[_ShownFcstFinish]]+Tasks[[#This Row],[_Row]]/100000,"")</f>
        <v/>
      </c>
      <c r="GH104" s="42" t="str">
        <f aca="false">IF(Tasks[[#This Row],[_LeafCritical]],Tasks[[#This Row],[_ShownFcstStart]]+Tasks[[#This Row],[_Row]]/100000,"")</f>
        <v/>
      </c>
      <c r="GI104" s="42" t="n">
        <f aca="false">Tasks[[#This Row],[_LeafWork]]*Tasks[[#This Row],[_LeafProgress]]</f>
        <v>0</v>
      </c>
      <c r="GJ104" s="89" t="str">
        <f aca="false">IF(AND(Tasks[[#This Row],[_IsLeaf]]=1,Tasks[[#This Row],[_LeafProgress]]&gt;=1),IF(N(Tasks[[#This Row],[Actual Finish]])&gt;0,Tasks[[#This Row],[Actual Finish]],Tasks[[#This Row],[_ShownFcstFinish]]),"")</f>
        <v/>
      </c>
      <c r="GK104" s="42" t="n">
        <f aca="false">IF(Tasks[[#This Row],[_IsLeaf]]=1,N(Tasks[[#This Row],[Story Points]]),0)</f>
        <v>0</v>
      </c>
      <c r="GL104" s="42" t="str">
        <f aca="false">""</f>
        <v/>
      </c>
      <c r="GM104" s="88" t="b">
        <f aca="false">IF(Tasks[[#This Row],[Task Name]]="",FALSE(),AND(Tasks[[#This Row],[_IsLeaf]]=1,N(Tasks[[#This Row],[_Days]])=0))</f>
        <v>0</v>
      </c>
      <c r="GN104" s="89" t="n">
        <f aca="false">IF(Tasks[[#This Row],[Task Name]]="",0,IF(AND(Tasks[[#This Row],[_IsLeaf]]=1,NOT(Tasks[[#This Row],[_IsMilestone]]),N(Tasks[[#This Row],[Progress]])&gt;0),Tasks[[#This Row],[Start]],0))</f>
        <v>0</v>
      </c>
      <c r="GO104" s="89" t="n">
        <f aca="false">IF(Tasks[[#This Row],[_DoneFrom]]=0,0,IF(Tasks[[#This Row],[Progress]]&gt;=1,Tasks[[#This Row],[Finish]],MAX(Tasks[[#This Row],[_DoneFrom]],Tasks[[#This Row],[Start]]+ROUND((Tasks[[#This Row],[Finish]]-Tasks[[#This Row],[Start]]+1)*Tasks[[#This Row],[Progress]],0)-1)))</f>
        <v>0</v>
      </c>
      <c r="GP104" s="89" t="n">
        <f aca="false">IF(Tasks[[#This Row],[Task Name]]="",0,IF(OR(NOT(Tasks[[#This Row],[_IsLeaf]]=1),Tasks[[#This Row],[_IsMilestone]],N(Tasks[[#This Row],[Progress]])&gt;=1),0,IF(Tasks[[#This Row],[_DoneTo]]&gt;0,Tasks[[#This Row],[_DoneTo]]+1,Tasks[[#This Row],[Start]])))</f>
        <v>0</v>
      </c>
      <c r="GQ104" s="89" t="n">
        <f aca="false">IF(Tasks[[#This Row],[_RemFrom]]=0,0,Tasks[[#This Row],[Finish]])</f>
        <v>0</v>
      </c>
      <c r="GR104" s="88" t="b">
        <f aca="false">IF(Tasks[[#This Row],[Task Name]]="",FALSE(),OR(NOT(BaselineSet),N(Tasks[[#This Row],[Baseline Start]])&gt;0))</f>
        <v>0</v>
      </c>
      <c r="GS1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4" s="90" t="str">
        <f aca="false">IF(Tasks[[#This Row],[_IsLeaf]]=1,Tasks[[#This Row],[_Row]],"")</f>
        <v/>
      </c>
      <c r="GW104" s="90" t="str">
        <f aca="false">IFERROR(INDEX(Tasks[UID],SMALL(Tasks[_PickKey],Tasks[[#This Row],[_Row]]))&amp;" "&amp;INDEX(Tasks[Task Name],SMALL(Tasks[_PickKey],Tasks[[#This Row],[_Row]])),"")</f>
        <v/>
      </c>
      <c r="GX104" s="42" t="str">
        <f aca="false">IF(Tasks[[#This Row],[Task Name]]="","",IF(Tasks[[#This Row],[_IsSummary]],NETWORKDAYS.INTL(Tasks[[#This Row],[Start]],Tasks[[#This Row],[Finish]],WorkWeek,Holidays),N(Tasks[[#This Row],[_Days]])))</f>
        <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3"/>
      <c r="U105" s="23"/>
      <c r="V105" s="83"/>
      <c r="W105" s="23"/>
      <c r="X105" s="83"/>
      <c r="Y105" s="23"/>
      <c r="Z105" s="83"/>
      <c r="AA105" s="23"/>
      <c r="AB105" s="23"/>
      <c r="AC105" s="7"/>
      <c r="AD105" s="7"/>
      <c r="AE105" s="62" t="str">
        <f aca="false">IF(Tasks[[#This Row],[Task Name]]="","",IF(Tasks[[#This Row],[_IsSummary]],MIN(INDEX(Tasks[_ShownFcstStart],Tasks[[#This Row],[_Row]]+1):INDEX(Tasks[_ShownFcstStart],Tasks[[#This Row],[_Row]]+Tasks[[#This Row],[_Descendants]])),Tasks[[#This Row],[_ShownFcstStart]]))</f>
        <v/>
      </c>
      <c r="AF105" s="62"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5" s="7"/>
      <c r="AK105" s="22"/>
      <c r="AL105" s="23"/>
      <c r="AM105" s="7"/>
      <c r="AN105" s="46"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2" t="str">
        <f aca="false">IF(Tasks[[#This Row],[Task Name]]="","",IF(N(Tasks[[#This Row],[Baseline Start]])&gt;0,Tasks[[#This Row],[Baseline Start]],Tasks[[#This Row],[_CalcStart]]))</f>
        <v/>
      </c>
      <c r="AR105" s="62" t="str">
        <f aca="false">IF(Tasks[[#This Row],[Task Name]]="","",IF(N(Tasks[[#This Row],[Baseline Finish]])&gt;0,Tasks[[#This Row],[Baseline Finish]],Tasks[[#This Row],[_CalcFinish]]))</f>
        <v/>
      </c>
      <c r="AS105" s="46" t="str">
        <f aca="false">IF(Tasks[[#This Row],[Task Name]]="","",IF(Tasks[[#This Row],[Start]]&gt;=Tasks[[#This Row],[Planned Start]],NETWORKDAYS.INTL(Tasks[[#This Row],[Planned Start]],Tasks[[#This Row],[Start]],WorkWeek,Holidays)-1,1-NETWORKDAYS.INTL(Tasks[[#This Row],[Start]],Tasks[[#This Row],[Planned Start]],WorkWeek,Holidays)))</f>
        <v/>
      </c>
      <c r="AT105" s="62" t="str">
        <f aca="false">IF(Tasks[[#This Row],[Task Name]]="","",IF(Tasks[[#This Row],[_IsSummary]],MIN(INDEX(Tasks[_LeafLateStart],Tasks[[#This Row],[_Row]]+1):INDEX(Tasks[_LeafLateStart],Tasks[[#This Row],[_Row]]+Tasks[[#This Row],[_Descendants]])),Tasks[[#This Row],[_LeafLateStart]]))</f>
        <v/>
      </c>
      <c r="AU105" s="62" t="str">
        <f aca="false">IF(Tasks[[#This Row],[Task Name]]="","",IF(Tasks[[#This Row],[_IsSummary]],MAX(INDEX(Tasks[_LeafLateFinish],Tasks[[#This Row],[_Row]]+1):INDEX(Tasks[_LeafLateFinish],Tasks[[#This Row],[_Row]]+Tasks[[#This Row],[_Descendants]])),Tasks[[#This Row],[_LeafLateFinish]]))</f>
        <v/>
      </c>
      <c r="AV105" s="46"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4"/>
      <c r="BA1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5"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6"/>
      <c r="BJ105" s="22"/>
      <c r="BK105" s="46" t="str">
        <f aca="false">IF(OR(Tasks[[#This Row],[Task Name]]="",Tasks[[#This Row],[Baseline Duration]]=""),"",Tasks[[#This Row],[_SpanDays]]-N(Tasks[[#This Row],[Baseline Duration]]))</f>
        <v/>
      </c>
      <c r="BL105" s="85" t="str">
        <f aca="false">IF(OR(Tasks[[#This Row],[Task Name]]="",Tasks[[#This Row],[Baseline Work]]=""),"",Tasks[[#This Row],[Work]]-N(Tasks[[#This Row],[Baseline Work]]))</f>
        <v/>
      </c>
      <c r="BM105" s="62" t="str">
        <f aca="false">IF(Tasks[[#This Row],[Task Name]]="","",IF(OR(TakeBaseline="Yes",N(Tasks[[#This Row],[Baseline Start]])=0),Tasks[[#This Row],[Start]],Tasks[[#This Row],[Baseline Start]]))</f>
        <v/>
      </c>
      <c r="BN105" s="62"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5" t="str">
        <f aca="false">IF(Tasks[[#This Row],[Task Name]]="","",IF(OR(TakeBaseline="Yes",N(Tasks[[#This Row],[Baseline Work]])=0),Tasks[[#This Row],[Work]],Tasks[[#This Row],[Baseline Work]]))</f>
        <v/>
      </c>
      <c r="BQ105" s="7"/>
      <c r="BR105" s="7"/>
      <c r="BS105" s="22"/>
      <c r="BT105" s="87"/>
      <c r="BU105" s="42" t="str">
        <f aca="false">IF(Tasks[[#This Row],[Task Name]]="","",MAX(1,N(Tasks[[#This Row],[Level]])))</f>
        <v/>
      </c>
      <c r="BV105" s="42" t="n">
        <f aca="false">ROW()-ROW(Tasks[[#Headers],[ID]])</f>
        <v>100</v>
      </c>
      <c r="BW105" s="42" t="n">
        <f aca="false">IF(OR(Tasks[[#This Row],[Task Name]]="",Tasks[[#This Row],[_Level]]&lt;=1),0,IFERROR(LOOKUP(2,1/(Tasks[[#Headers],[_Level]]:Tasks[[#This Row],[_Level]]=Tasks[[#This Row],[_Level]]-1),ROW(Tasks[[#Headers],[_Level]]:Tasks[[#This Row],[_Level]])),0))</f>
        <v>0</v>
      </c>
      <c r="BX105" s="42" t="n">
        <f aca="false">IFERROR(N(INDEX(Tasks[_Level],Tasks[[#This Row],[_Row]]+1)),0)</f>
        <v>0</v>
      </c>
      <c r="BY105" s="88" t="b">
        <f aca="false">AND(Tasks[[#This Row],[Task Name]]&lt;&gt;"",Tasks[[#This Row],[_NextLevel]]&gt;Tasks[[#This Row],[_Level]])</f>
        <v>0</v>
      </c>
      <c r="BZ105" s="42" t="n">
        <f aca="false">IF(Tasks[[#This Row],[_IsSummary]],COUNTIF(Tasks[WBS],Tasks[[#This Row],[WBS]]&amp;".*"),0)</f>
        <v>0</v>
      </c>
      <c r="CA105" s="42" t="n">
        <f aca="false">IF(AND(Tasks[[#This Row],[Task Name]]&lt;&gt;"",NOT(Tasks[[#This Row],[_IsSummary]])),1,0)</f>
        <v>0</v>
      </c>
      <c r="CB105" s="42" t="n">
        <f aca="false">IF(N(Tasks[[#This Row],[_Pred1UID]])=0,0,IFERROR(MATCH(Tasks[[#This Row],[_Pred1UID]],Tasks[UID],0),-1))</f>
        <v>0</v>
      </c>
      <c r="CC105" s="42" t="n">
        <f aca="false">IF(N(Tasks[[#This Row],[_Pred2UID]])=0,0,IFERROR(MATCH(Tasks[[#This Row],[_Pred2UID]],Tasks[UID],0),-1))</f>
        <v>0</v>
      </c>
      <c r="CD105" s="42" t="n">
        <f aca="false">IF(N(Tasks[[#This Row],[_Pred3UID]])=0,0,IFERROR(MATCH(Tasks[[#This Row],[_Pred3UID]],Tasks[UID],0),-1))</f>
        <v>0</v>
      </c>
      <c r="CE105" s="42" t="n">
        <f aca="false">IF(N(Tasks[[#This Row],[_Pred4UID]])=0,0,IFERROR(MATCH(Tasks[[#This Row],[_Pred4UID]],Tasks[UID],0),-1))</f>
        <v>0</v>
      </c>
      <c r="CF1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5" s="89" t="n">
        <f aca="false">IF(OR(Tasks[[#This Row],[_ConstraintCode]]=2,Tasks[[#This Row],[_ConstraintCode]]=3,Tasks[[#This Row],[_ConstraintCode]]=4,Tasks[[#This Row],[_ConstraintCode]]=6),Tasks[[#This Row],[_ConstraintStart]],0)</f>
        <v>0</v>
      </c>
      <c r="CI105" s="89" t="n">
        <f aca="false">IF(OR(Tasks[[#This Row],[_ConstraintCode]]=2,Tasks[[#This Row],[_ConstraintCode]]=3,Tasks[[#This Row],[_ConstraintCode]]=5,Tasks[[#This Row],[_ConstraintCode]]=7),Tasks[[#This Row],[_ConstraintStart]],2958465)</f>
        <v>2958465</v>
      </c>
      <c r="CJ1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5" s="89" t="str">
        <f aca="false">IF(NOT(Tasks[[#This Row],[_IsLeaf]]=1),"",IF(N(Tasks[[#This Row],[_Days]])&lt;=0,Tasks[[#This Row],[_LeafCalcStart]],WORKDAY.INTL(Tasks[[#This Row],[_LeafCalcStart]],Tasks[[#This Row],[_Days]]-1,WorkWeek,Holidays)))</f>
        <v/>
      </c>
      <c r="CL1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5" s="42" t="str">
        <f aca="false">IF(Tasks[[#This Row],[_Predecessors]]="","",TRIM(MID(SUBSTITUTE(SUBSTITUTE(SUBSTITUTE(UPPER(Tasks[[#This Row],[_Predecessors]]),";",",")," ",""),",",REPT(" ",99)),1,99)))</f>
        <v/>
      </c>
      <c r="CO105" s="42" t="str">
        <f aca="false">IF(Tasks[[#This Row],[_Pred1Text]]="","",IFERROR(VALUE(LEFT(Tasks[[#This Row],[_Pred1Text]],MIN(FIND("F",Tasks[[#This Row],[_Pred1Text]]&amp;"F"),FIND("S",Tasks[[#This Row],[_Pred1Text]]&amp;"S"),FIND("+",Tasks[[#This Row],[_Pred1Text]]&amp;"+"),FIND("-",Tasks[[#This Row],[_Pred1Text]]&amp;"-"))-1)),""))</f>
        <v/>
      </c>
      <c r="CP1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5" s="42" t="str">
        <f aca="false">IF(Tasks[[#This Row],[_Pred1Text]]="","",TRIM(MID(SUBSTITUTE(SUBSTITUTE(SUBSTITUTE(UPPER(Tasks[[#This Row],[_Predecessors]]),";",",")," ",""),",",REPT(" ",99)),100,99)))</f>
        <v/>
      </c>
      <c r="CS105" s="42" t="str">
        <f aca="false">IF(Tasks[[#This Row],[_Pred2Text]]="","",IFERROR(VALUE(LEFT(Tasks[[#This Row],[_Pred2Text]],MIN(FIND("F",Tasks[[#This Row],[_Pred2Text]]&amp;"F"),FIND("S",Tasks[[#This Row],[_Pred2Text]]&amp;"S"),FIND("+",Tasks[[#This Row],[_Pred2Text]]&amp;"+"),FIND("-",Tasks[[#This Row],[_Pred2Text]]&amp;"-"))-1)),""))</f>
        <v/>
      </c>
      <c r="CT1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5" s="42" t="str">
        <f aca="false">IF(Tasks[[#This Row],[_Pred2Text]]="","",TRIM(MID(SUBSTITUTE(SUBSTITUTE(SUBSTITUTE(UPPER(Tasks[[#This Row],[_Predecessors]]),";",",")," ",""),",",REPT(" ",99)),199,99)))</f>
        <v/>
      </c>
      <c r="CW105" s="42" t="str">
        <f aca="false">IF(Tasks[[#This Row],[_Pred3Text]]="","",IFERROR(VALUE(LEFT(Tasks[[#This Row],[_Pred3Text]],MIN(FIND("F",Tasks[[#This Row],[_Pred3Text]]&amp;"F"),FIND("S",Tasks[[#This Row],[_Pred3Text]]&amp;"S"),FIND("+",Tasks[[#This Row],[_Pred3Text]]&amp;"+"),FIND("-",Tasks[[#This Row],[_Pred3Text]]&amp;"-"))-1)),""))</f>
        <v/>
      </c>
      <c r="CX1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5" s="42" t="str">
        <f aca="false">IF(Tasks[[#This Row],[_Pred3Text]]="","",TRIM(MID(SUBSTITUTE(SUBSTITUTE(SUBSTITUTE(UPPER(Tasks[[#This Row],[_Predecessors]]),";",",")," ",""),",",REPT(" ",99)),298,99)))</f>
        <v/>
      </c>
      <c r="DA105" s="42" t="str">
        <f aca="false">IF(Tasks[[#This Row],[_Pred4Text]]="","",IFERROR(VALUE(LEFT(Tasks[[#This Row],[_Pred4Text]],MIN(FIND("F",Tasks[[#This Row],[_Pred4Text]]&amp;"F"),FIND("S",Tasks[[#This Row],[_Pred4Text]]&amp;"S"),FIND("+",Tasks[[#This Row],[_Pred4Text]]&amp;"+"),FIND("-",Tasks[[#This Row],[_Pred4Text]]&amp;"-"))-1)),""))</f>
        <v/>
      </c>
      <c r="DB1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5" s="42" t="str">
        <f aca="false">IF(OR(Tasks[[#This Row],[Task Name]]="",Tasks[[#This Row],[_Resources]]=""),"",TRIM(MID(SUBSTITUTE(Tasks[[#This Row],[_Resources]],",",REPT(" ",99)),1,99)))</f>
        <v/>
      </c>
      <c r="DE105" s="42" t="str">
        <f aca="false">IF(Tasks[[#This Row],[_Res1Text]]="","",TRIM(MID(SUBSTITUTE(Tasks[[#This Row],[_Resources]],",",REPT(" ",99)),100,99)))</f>
        <v/>
      </c>
      <c r="DF105" s="42" t="str">
        <f aca="false">IF(Tasks[[#This Row],[_Res2Text]]="","",TRIM(MID(SUBSTITUTE(Tasks[[#This Row],[_Resources]],",",REPT(" ",99)),199,99)))</f>
        <v/>
      </c>
      <c r="DG105" s="42" t="str">
        <f aca="false">IF(Tasks[[#This Row],[_Res3Text]]="","",TRIM(MID(SUBSTITUTE(Tasks[[#This Row],[_Resources]],",",REPT(" ",99)),298,99)))</f>
        <v/>
      </c>
      <c r="DH105" s="42" t="n">
        <f aca="false">IF(Tasks[[#This Row],[_Res1Text]]="",0,IFERROR(MATCH(TRIM(LEFT(Tasks[[#This Row],[_Res1Text]],FIND("[",Tasks[[#This Row],[_Res1Text]]&amp;"[")-1)),res_Name,0),IFERROR(MATCH(TRIM(LEFT(Tasks[[#This Row],[_Res1Text]],FIND("[",Tasks[[#This Row],[_Res1Text]]&amp;"[")-1)),res_Initials,0),0)))</f>
        <v>0</v>
      </c>
      <c r="DI105" s="42" t="n">
        <f aca="false">IF(Tasks[[#This Row],[_Res2Text]]="",0,IFERROR(MATCH(TRIM(LEFT(Tasks[[#This Row],[_Res2Text]],FIND("[",Tasks[[#This Row],[_Res2Text]]&amp;"[")-1)),res_Name,0),IFERROR(MATCH(TRIM(LEFT(Tasks[[#This Row],[_Res2Text]],FIND("[",Tasks[[#This Row],[_Res2Text]]&amp;"[")-1)),res_Initials,0),0)))</f>
        <v>0</v>
      </c>
      <c r="DJ105" s="42" t="n">
        <f aca="false">IF(Tasks[[#This Row],[_Res3Text]]="",0,IFERROR(MATCH(TRIM(LEFT(Tasks[[#This Row],[_Res3Text]],FIND("[",Tasks[[#This Row],[_Res3Text]]&amp;"[")-1)),res_Name,0),IFERROR(MATCH(TRIM(LEFT(Tasks[[#This Row],[_Res3Text]],FIND("[",Tasks[[#This Row],[_Res3Text]]&amp;"[")-1)),res_Initials,0),0)))</f>
        <v>0</v>
      </c>
      <c r="DK105" s="42" t="n">
        <f aca="false">IF(Tasks[[#This Row],[_Res4Text]]="",0,IFERROR(MATCH(TRIM(LEFT(Tasks[[#This Row],[_Res4Text]],FIND("[",Tasks[[#This Row],[_Res4Text]]&amp;"[")-1)),res_Name,0),IFERROR(MATCH(TRIM(LEFT(Tasks[[#This Row],[_Res4Text]],FIND("[",Tasks[[#This Row],[_Res4Text]]&amp;"[")-1)),res_Initials,0),0)))</f>
        <v>0</v>
      </c>
      <c r="DL105" s="42" t="str">
        <f aca="false">IF(Tasks[[#This Row],[_Res1Text]]="","",IF(Tasks[[#This Row],[_Res1Row]]&gt;0,INDEX(res_Name,Tasks[[#This Row],[_Res1Row]]),TRIM(LEFT(Tasks[[#This Row],[_Res1Text]],FIND("[",Tasks[[#This Row],[_Res1Text]]&amp;"[")-1))))</f>
        <v/>
      </c>
      <c r="DM1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5" s="42" t="n">
        <f aca="false">IF(NOT(Tasks[[#This Row],[_IsLeaf]]=1),0,(Tasks[[#This Row],[_Resource1]]&lt;&gt;"")+(Tasks[[#This Row],[_Res2]]&lt;&gt;"")+(Tasks[[#This Row],[_Res3]]&lt;&gt;"")+(Tasks[[#This Row],[_Res4]]&lt;&gt;""))</f>
        <v>0</v>
      </c>
      <c r="DO105" s="42" t="str">
        <f aca="false">IF(Tasks[[#This Row],[_Res2Text]]="","",IF(Tasks[[#This Row],[_Res2Row]]&gt;0,INDEX(res_Name,Tasks[[#This Row],[_Res2Row]]),TRIM(LEFT(Tasks[[#This Row],[_Res2Text]],FIND("[",Tasks[[#This Row],[_Res2Text]]&amp;"[")-1))))</f>
        <v/>
      </c>
      <c r="DP1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5" s="42" t="n">
        <f aca="false">IF(OR(NOT(Tasks[[#This Row],[_IsLeaf]]=1),Tasks[[#This Row],[_Res2Row]]=0),0,N(Tasks[[#This Row],[_Days]])*HoursPerDay*IF(Tasks[[#This Row],[_Res2Units]]="",DefaultUnits,Tasks[[#This Row],[_Res2Units]]))</f>
        <v>0</v>
      </c>
      <c r="DR105" s="42" t="n">
        <f aca="false">IF(AND(AND(Tasks[[#This Row],[_IsLeaf]]=1,Tasks[[#This Row],[_LeafTotalWork]]&gt;0),Tasks[[#This Row],[_Res2Work]]&gt;0),Tasks[[#This Row],[_Res2Work]]/(Tasks[[#This Row],[_FinishWorkday]]-Tasks[[#This Row],[_StartWorkday]]+1),0)</f>
        <v>0</v>
      </c>
      <c r="DS105" s="42" t="n">
        <f aca="false">Tasks[[#This Row],[_Res2WorkPerWD]]*MAX(0,Tasks[[#This Row],[_StartWorkday]]-1)</f>
        <v>0</v>
      </c>
      <c r="DT105" s="42" t="n">
        <f aca="false">Tasks[[#This Row],[_Res2Work]]*Tasks[[#This Row],[_LeafProgress]]</f>
        <v>0</v>
      </c>
      <c r="DU105" s="42" t="str">
        <f aca="false">IF(Tasks[[#This Row],[_Res3Text]]="","",IF(Tasks[[#This Row],[_Res3Row]]&gt;0,INDEX(res_Name,Tasks[[#This Row],[_Res3Row]]),TRIM(LEFT(Tasks[[#This Row],[_Res3Text]],FIND("[",Tasks[[#This Row],[_Res3Text]]&amp;"[")-1))))</f>
        <v/>
      </c>
      <c r="DV1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5" s="42" t="n">
        <f aca="false">IF(OR(NOT(Tasks[[#This Row],[_IsLeaf]]=1),Tasks[[#This Row],[_Res3Row]]=0),0,N(Tasks[[#This Row],[_Days]])*HoursPerDay*IF(Tasks[[#This Row],[_Res3Units]]="",DefaultUnits,Tasks[[#This Row],[_Res3Units]]))</f>
        <v>0</v>
      </c>
      <c r="DX105" s="42" t="n">
        <f aca="false">IF(AND(AND(Tasks[[#This Row],[_IsLeaf]]=1,Tasks[[#This Row],[_LeafTotalWork]]&gt;0),Tasks[[#This Row],[_Res3Work]]&gt;0),Tasks[[#This Row],[_Res3Work]]/(Tasks[[#This Row],[_FinishWorkday]]-Tasks[[#This Row],[_StartWorkday]]+1),0)</f>
        <v>0</v>
      </c>
      <c r="DY105" s="42" t="n">
        <f aca="false">Tasks[[#This Row],[_Res3WorkPerWD]]*MAX(0,Tasks[[#This Row],[_StartWorkday]]-1)</f>
        <v>0</v>
      </c>
      <c r="DZ105" s="42" t="n">
        <f aca="false">Tasks[[#This Row],[_Res3Work]]*Tasks[[#This Row],[_LeafProgress]]</f>
        <v>0</v>
      </c>
      <c r="EA105" s="42" t="str">
        <f aca="false">IF(Tasks[[#This Row],[_Res4Text]]="","",IF(Tasks[[#This Row],[_Res4Row]]&gt;0,INDEX(res_Name,Tasks[[#This Row],[_Res4Row]]),TRIM(LEFT(Tasks[[#This Row],[_Res4Text]],FIND("[",Tasks[[#This Row],[_Res4Text]]&amp;"[")-1))))</f>
        <v/>
      </c>
      <c r="EB1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5" s="42" t="n">
        <f aca="false">IF(OR(NOT(Tasks[[#This Row],[_IsLeaf]]=1),Tasks[[#This Row],[_Res4Row]]=0),0,N(Tasks[[#This Row],[_Days]])*HoursPerDay*IF(Tasks[[#This Row],[_Res4Units]]="",DefaultUnits,Tasks[[#This Row],[_Res4Units]]))</f>
        <v>0</v>
      </c>
      <c r="ED105" s="42" t="n">
        <f aca="false">IF(AND(AND(Tasks[[#This Row],[_IsLeaf]]=1,Tasks[[#This Row],[_LeafTotalWork]]&gt;0),Tasks[[#This Row],[_Res4Work]]&gt;0),Tasks[[#This Row],[_Res4Work]]/(Tasks[[#This Row],[_FinishWorkday]]-Tasks[[#This Row],[_StartWorkday]]+1),0)</f>
        <v>0</v>
      </c>
      <c r="EE105" s="42" t="n">
        <f aca="false">Tasks[[#This Row],[_Res4WorkPerWD]]*MAX(0,Tasks[[#This Row],[_StartWorkday]]-1)</f>
        <v>0</v>
      </c>
      <c r="EF105" s="42" t="n">
        <f aca="false">Tasks[[#This Row],[_Res4Work]]*Tasks[[#This Row],[_LeafProgress]]</f>
        <v>0</v>
      </c>
      <c r="EG105" s="42" t="n">
        <f aca="false">IF(ISNUMBER(Tasks[[#This Row],[% Complete]]),Tasks[[#This Row],[% Complete]],IF(Tasks[[#This Row],[Stage]]="",0,IFERROR(INDEX(stg_Pct,MATCH(Tasks[[#This Row],[Stage]],stg_Name,0)),0)))</f>
        <v>0</v>
      </c>
      <c r="EH105" s="42" t="n">
        <f aca="false">IF(NOT(Tasks[[#This Row],[_IsLeaf]]=1),0,IF(N(Tasks[[#This Row],[Actual Finish]])&gt;0,1,MIN(1,Tasks[[#This Row],[_Pct]])))</f>
        <v>0</v>
      </c>
      <c r="EI105" s="42" t="n">
        <f aca="false">IF(OR(NOT(Tasks[[#This Row],[_IsLeaf]]=1),Tasks[[#This Row],[_Res1Row]]=0),0,N(Tasks[[#This Row],[_Days]])*HoursPerDay*IF(Tasks[[#This Row],[_Units1]]="",DefaultUnits,Tasks[[#This Row],[_Units1]]))</f>
        <v>0</v>
      </c>
      <c r="EJ105" s="42" t="n">
        <f aca="false">Tasks[[#This Row],[_LeafWork]]+Tasks[[#This Row],[_Res2Work]]+Tasks[[#This Row],[_Res3Work]]+Tasks[[#This Row],[_Res4Work]]</f>
        <v>0</v>
      </c>
      <c r="EK1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5" s="42" t="n">
        <f aca="false">IF(NOT(Tasks[[#This Row],[_IsLeaf]]=1),0,MAX(_xlfn.MAXIFS(Tasks[_Row],Tasks[_Pred1UID],Tasks[[#This Row],[UID]]),_xlfn.MAXIFS(Tasks[_Row],Tasks[_Pred2UID],Tasks[[#This Row],[UID]]),_xlfn.MAXIFS(Tasks[_Row],Tasks[_Pred3UID],Tasks[[#This Row],[UID]]),_xlfn.MAXIFS(Tasks[_Row],Tasks[_Pred4UID],Tasks[[#This Row],[UID]])))</f>
        <v>0</v>
      </c>
      <c r="ET1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5" s="89" t="str">
        <f aca="false">IF(NOT(Tasks[[#This Row],[_IsLeaf]]=1),"",IF(N(Tasks[[#This Row],[_Days]])&lt;=0,Tasks[[#This Row],[_LeafLateFinish]],WORKDAY.INTL(Tasks[[#This Row],[_LeafLateFinish]],-(Tasks[[#This Row],[_Days]]-1),WorkWeek,Holidays)))</f>
        <v/>
      </c>
      <c r="EW1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5" s="88" t="b">
        <f aca="false">AND(Tasks[[#This Row],[_IsLeaf]]=1,Tasks[[#This Row],[_LeafProgress]]&lt;1,N(Tasks[[#This Row],[_LeafTotalSlack]])&lt;=CriticalSlackDays)</f>
        <v>0</v>
      </c>
      <c r="EY105" s="42" t="n">
        <f aca="false">IF(AND(Tasks[[#This Row],[_IsLeaf]]=1,Tasks[[#This Row],[_ConstraintCode]]=1,Tasks[[#This Row],[Mode]]&lt;&gt;"Manual",N(Tasks[[#This Row],[Actual Start]])=0),MAX(0,N(Tasks[[#This Row],[Free Slack]])),0)</f>
        <v>0</v>
      </c>
      <c r="EZ105" s="89" t="str">
        <f aca="false">IF(NOT(Tasks[[#This Row],[_IsLeaf]]=1),"",IF(Tasks[[#This Row],[_AlapShift]]=0,Tasks[[#This Row],[_LeafCalcStart]],WORKDAY.INTL(Tasks[[#This Row],[_LeafCalcStart]],Tasks[[#This Row],[_AlapShift]],WorkWeek,Holidays)))</f>
        <v/>
      </c>
      <c r="FA105" s="89" t="str">
        <f aca="false">IF(NOT(Tasks[[#This Row],[_IsLeaf]]=1),"",IF(Tasks[[#This Row],[_AlapShift]]=0,Tasks[[#This Row],[_LeafCalcFinish]],WORKDAY.INTL(Tasks[[#This Row],[_LeafCalcFinish]],Tasks[[#This Row],[_AlapShift]],WorkWeek,Holidays)))</f>
        <v/>
      </c>
      <c r="FB105" s="89" t="str">
        <f aca="false">IF(NOT(Tasks[[#This Row],[_IsLeaf]]=1),"",IF(Tasks[[#This Row],[_AlapShift]]=0,Tasks[[#This Row],[_LeafFcstStart]],WORKDAY.INTL(Tasks[[#This Row],[_LeafFcstStart]],Tasks[[#This Row],[_AlapShift]],WorkWeek,Holidays)))</f>
        <v/>
      </c>
      <c r="FC105" s="89" t="str">
        <f aca="false">IF(NOT(Tasks[[#This Row],[_IsLeaf]]=1),"",IF(Tasks[[#This Row],[_AlapShift]]=0,Tasks[[#This Row],[_LeafFcstFinish]],WORKDAY.INTL(Tasks[[#This Row],[_LeafFcstFinish]],Tasks[[#This Row],[_AlapShift]],WorkWeek,Holidays)))</f>
        <v/>
      </c>
      <c r="FD105" s="89" t="str">
        <f aca="false">IF(Tasks[[#This Row],[Task Name]]="","",IF(Tasks[[#This Row],[_IsSummary]],MIN(INDEX(Tasks[_ShownCalcStart],Tasks[[#This Row],[_Row]]+1):INDEX(Tasks[_ShownCalcStart],Tasks[[#This Row],[_Row]]+Tasks[[#This Row],[_Descendants]])),Tasks[[#This Row],[_ShownCalcStart]]))</f>
        <v/>
      </c>
      <c r="FE105" s="89" t="str">
        <f aca="false">IF(Tasks[[#This Row],[Task Name]]="","",IF(Tasks[[#This Row],[_IsSummary]],MAX(INDEX(Tasks[_ShownCalcFinish],Tasks[[#This Row],[_Row]]+1):INDEX(Tasks[_ShownCalcFinish],Tasks[[#This Row],[_Row]]+Tasks[[#This Row],[_Descendants]])),Tasks[[#This Row],[_ShownCalcFinish]]))</f>
        <v/>
      </c>
      <c r="FF1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5" s="42" t="n">
        <f aca="false">IF(AND(Tasks[[#This Row],[_IsLeaf]]=1,Tasks[[#This Row],[_LeafTotalWork]]&gt;0),NETWORKDAYS.INTL(ProjectStart,Tasks[[#This Row],[_ShownFcstStart]],WorkWeek,Holidays),0)</f>
        <v>0</v>
      </c>
      <c r="FS105" s="42" t="n">
        <f aca="false">IF(AND(Tasks[[#This Row],[_IsLeaf]]=1,Tasks[[#This Row],[_LeafTotalWork]]&gt;0),MAX(Tasks[[#This Row],[_StartWorkday]],NETWORKDAYS.INTL(ProjectStart,Tasks[[#This Row],[_ShownFcstFinish]],WorkWeek,Holidays)),0)</f>
        <v>0</v>
      </c>
      <c r="FT105" s="42" t="n">
        <f aca="false">IF(AND(Tasks[[#This Row],[_IsLeaf]]=1,Tasks[[#This Row],[_LeafTotalWork]]&gt;0),Tasks[[#This Row],[_LeafWork]]/(Tasks[[#This Row],[_FinishWorkday]]-Tasks[[#This Row],[_StartWorkday]]+1),0)</f>
        <v>0</v>
      </c>
      <c r="FU105" s="42" t="n">
        <f aca="false">Tasks[[#This Row],[_WorkPerWorkday]]*(Tasks[[#This Row],[_StartWorkday]]-1)</f>
        <v>-0</v>
      </c>
      <c r="FV105" s="42" t="n">
        <f aca="false">IF(Tasks[[#This Row],[_IsLeaf]]=1,MAX(N(Tasks[[#This Row],[_Days]]),0.1),0)</f>
        <v>0</v>
      </c>
      <c r="FW105" s="42" t="n">
        <f aca="false">Tasks[[#This Row],[_WeightDur]]*Tasks[[#This Row],[_LeafProgress]]</f>
        <v>0</v>
      </c>
      <c r="FX105" s="42" t="n">
        <f aca="false">Tasks[[#This Row],[_WeightDur]]*Tasks[[#This Row],[_PlannedPct]]</f>
        <v>0</v>
      </c>
      <c r="FY1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5" s="42" t="str">
        <f aca="false">IF(AND(Tasks[[#This Row],[_IsLeaf]]=1,N(Tasks[[#This Row],[_Days]])=0,Tasks[[#This Row],[_LeafProgress]]&lt;1),Tasks[[#This Row],[_ShownFcstFinish]]+Tasks[[#This Row],[_Row]]/100000,"")</f>
        <v/>
      </c>
      <c r="GA1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5" s="42" t="str">
        <f aca="false">IF(Tasks[[#This Row],[Task Name]]="","",LEFT(Tasks[[#This Row],[WBS]],FIND(".",Tasks[[#This Row],[WBS]]&amp;".")-1))</f>
        <v/>
      </c>
      <c r="GC105" s="42" t="str">
        <f aca="false">IF(AND(Tasks[[#This Row],[Task Name]]&lt;&gt;"",Tasks[[#This Row],[_Level]]=1),Tasks[[#This Row],[_Row]],"")</f>
        <v/>
      </c>
      <c r="GD105" s="42" t="str">
        <f aca="false">IF(AND(Tasks[[#This Row],[_IsLeaf]]=1,N(Tasks[[#This Row],[_Days]])=0),Tasks[[#This Row],[Planned Finish]]+Tasks[[#This Row],[_Row]]/100000,"")</f>
        <v/>
      </c>
      <c r="GE105" s="42" t="str">
        <f aca="false">IF(AND(Tasks[[#This Row],[_IsLeaf]]=1,Tasks[[#This Row],[_LeafProgress]]&lt;1,OR(N(Tasks[[#This Row],[Finish Var]])&gt;0,Tasks[[#This Row],[Status]]="Late Start")),MAX(0,Tasks[[#This Row],[Finish Var]])+1-Tasks[[#This Row],[_Row]]/1000000,"")</f>
        <v/>
      </c>
      <c r="GF105" s="42" t="str">
        <f aca="false">IF(AND(Tasks[[#This Row],[_IsLeaf]]=1,N(Tasks[[#This Row],[Actual Start]])=0,Tasks[[#This Row],[_ShownFcstStart]]&gt;=StatusDate,Tasks[[#This Row],[_ShownFcstStart]]&lt;=LookaheadEnd),Tasks[[#This Row],[_ShownFcstStart]]+Tasks[[#This Row],[_Row]]/100000,"")</f>
        <v/>
      </c>
      <c r="GG105" s="42" t="str">
        <f aca="false">IF(AND(Tasks[[#This Row],[_IsLeaf]]=1,Tasks[[#This Row],[_LeafProgress]]&lt;1,Tasks[[#This Row],[_ShownFcstFinish]]&gt;=StatusDate,Tasks[[#This Row],[_ShownFcstFinish]]&lt;=LookaheadEnd),Tasks[[#This Row],[_ShownFcstFinish]]+Tasks[[#This Row],[_Row]]/100000,"")</f>
        <v/>
      </c>
      <c r="GH105" s="42" t="str">
        <f aca="false">IF(Tasks[[#This Row],[_LeafCritical]],Tasks[[#This Row],[_ShownFcstStart]]+Tasks[[#This Row],[_Row]]/100000,"")</f>
        <v/>
      </c>
      <c r="GI105" s="42" t="n">
        <f aca="false">Tasks[[#This Row],[_LeafWork]]*Tasks[[#This Row],[_LeafProgress]]</f>
        <v>0</v>
      </c>
      <c r="GJ105" s="89" t="str">
        <f aca="false">IF(AND(Tasks[[#This Row],[_IsLeaf]]=1,Tasks[[#This Row],[_LeafProgress]]&gt;=1),IF(N(Tasks[[#This Row],[Actual Finish]])&gt;0,Tasks[[#This Row],[Actual Finish]],Tasks[[#This Row],[_ShownFcstFinish]]),"")</f>
        <v/>
      </c>
      <c r="GK105" s="42" t="n">
        <f aca="false">IF(Tasks[[#This Row],[_IsLeaf]]=1,N(Tasks[[#This Row],[Story Points]]),0)</f>
        <v>0</v>
      </c>
      <c r="GL105" s="42" t="str">
        <f aca="false">""</f>
        <v/>
      </c>
      <c r="GM105" s="88" t="b">
        <f aca="false">IF(Tasks[[#This Row],[Task Name]]="",FALSE(),AND(Tasks[[#This Row],[_IsLeaf]]=1,N(Tasks[[#This Row],[_Days]])=0))</f>
        <v>0</v>
      </c>
      <c r="GN105" s="89" t="n">
        <f aca="false">IF(Tasks[[#This Row],[Task Name]]="",0,IF(AND(Tasks[[#This Row],[_IsLeaf]]=1,NOT(Tasks[[#This Row],[_IsMilestone]]),N(Tasks[[#This Row],[Progress]])&gt;0),Tasks[[#This Row],[Start]],0))</f>
        <v>0</v>
      </c>
      <c r="GO105" s="89" t="n">
        <f aca="false">IF(Tasks[[#This Row],[_DoneFrom]]=0,0,IF(Tasks[[#This Row],[Progress]]&gt;=1,Tasks[[#This Row],[Finish]],MAX(Tasks[[#This Row],[_DoneFrom]],Tasks[[#This Row],[Start]]+ROUND((Tasks[[#This Row],[Finish]]-Tasks[[#This Row],[Start]]+1)*Tasks[[#This Row],[Progress]],0)-1)))</f>
        <v>0</v>
      </c>
      <c r="GP105" s="89" t="n">
        <f aca="false">IF(Tasks[[#This Row],[Task Name]]="",0,IF(OR(NOT(Tasks[[#This Row],[_IsLeaf]]=1),Tasks[[#This Row],[_IsMilestone]],N(Tasks[[#This Row],[Progress]])&gt;=1),0,IF(Tasks[[#This Row],[_DoneTo]]&gt;0,Tasks[[#This Row],[_DoneTo]]+1,Tasks[[#This Row],[Start]])))</f>
        <v>0</v>
      </c>
      <c r="GQ105" s="89" t="n">
        <f aca="false">IF(Tasks[[#This Row],[_RemFrom]]=0,0,Tasks[[#This Row],[Finish]])</f>
        <v>0</v>
      </c>
      <c r="GR105" s="88" t="b">
        <f aca="false">IF(Tasks[[#This Row],[Task Name]]="",FALSE(),OR(NOT(BaselineSet),N(Tasks[[#This Row],[Baseline Start]])&gt;0))</f>
        <v>0</v>
      </c>
      <c r="GS1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5" s="90" t="str">
        <f aca="false">IF(Tasks[[#This Row],[_IsLeaf]]=1,Tasks[[#This Row],[_Row]],"")</f>
        <v/>
      </c>
      <c r="GW105" s="90" t="str">
        <f aca="false">IFERROR(INDEX(Tasks[UID],SMALL(Tasks[_PickKey],Tasks[[#This Row],[_Row]]))&amp;" "&amp;INDEX(Tasks[Task Name],SMALL(Tasks[_PickKey],Tasks[[#This Row],[_Row]])),"")</f>
        <v/>
      </c>
      <c r="GX105" s="42" t="str">
        <f aca="false">IF(Tasks[[#This Row],[Task Name]]="","",IF(Tasks[[#This Row],[_IsSummary]],NETWORKDAYS.INTL(Tasks[[#This Row],[Start]],Tasks[[#This Row],[Finish]],WorkWeek,Holidays),N(Tasks[[#This Row],[_Days]])))</f>
        <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3"/>
      <c r="U106" s="23"/>
      <c r="V106" s="83"/>
      <c r="W106" s="23"/>
      <c r="X106" s="83"/>
      <c r="Y106" s="23"/>
      <c r="Z106" s="83"/>
      <c r="AA106" s="23"/>
      <c r="AB106" s="23"/>
      <c r="AC106" s="7"/>
      <c r="AD106" s="7"/>
      <c r="AE106" s="62" t="str">
        <f aca="false">IF(Tasks[[#This Row],[Task Name]]="","",IF(Tasks[[#This Row],[_IsSummary]],MIN(INDEX(Tasks[_ShownFcstStart],Tasks[[#This Row],[_Row]]+1):INDEX(Tasks[_ShownFcstStart],Tasks[[#This Row],[_Row]]+Tasks[[#This Row],[_Descendants]])),Tasks[[#This Row],[_ShownFcstStart]]))</f>
        <v/>
      </c>
      <c r="AF106" s="62"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6" s="7"/>
      <c r="AK106" s="22"/>
      <c r="AL106" s="23"/>
      <c r="AM106" s="7"/>
      <c r="AN106" s="46"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2" t="str">
        <f aca="false">IF(Tasks[[#This Row],[Task Name]]="","",IF(N(Tasks[[#This Row],[Baseline Start]])&gt;0,Tasks[[#This Row],[Baseline Start]],Tasks[[#This Row],[_CalcStart]]))</f>
        <v/>
      </c>
      <c r="AR106" s="62" t="str">
        <f aca="false">IF(Tasks[[#This Row],[Task Name]]="","",IF(N(Tasks[[#This Row],[Baseline Finish]])&gt;0,Tasks[[#This Row],[Baseline Finish]],Tasks[[#This Row],[_CalcFinish]]))</f>
        <v/>
      </c>
      <c r="AS106" s="46" t="str">
        <f aca="false">IF(Tasks[[#This Row],[Task Name]]="","",IF(Tasks[[#This Row],[Start]]&gt;=Tasks[[#This Row],[Planned Start]],NETWORKDAYS.INTL(Tasks[[#This Row],[Planned Start]],Tasks[[#This Row],[Start]],WorkWeek,Holidays)-1,1-NETWORKDAYS.INTL(Tasks[[#This Row],[Start]],Tasks[[#This Row],[Planned Start]],WorkWeek,Holidays)))</f>
        <v/>
      </c>
      <c r="AT106" s="62" t="str">
        <f aca="false">IF(Tasks[[#This Row],[Task Name]]="","",IF(Tasks[[#This Row],[_IsSummary]],MIN(INDEX(Tasks[_LeafLateStart],Tasks[[#This Row],[_Row]]+1):INDEX(Tasks[_LeafLateStart],Tasks[[#This Row],[_Row]]+Tasks[[#This Row],[_Descendants]])),Tasks[[#This Row],[_LeafLateStart]]))</f>
        <v/>
      </c>
      <c r="AU106" s="62" t="str">
        <f aca="false">IF(Tasks[[#This Row],[Task Name]]="","",IF(Tasks[[#This Row],[_IsSummary]],MAX(INDEX(Tasks[_LeafLateFinish],Tasks[[#This Row],[_Row]]+1):INDEX(Tasks[_LeafLateFinish],Tasks[[#This Row],[_Row]]+Tasks[[#This Row],[_Descendants]])),Tasks[[#This Row],[_LeafLateFinish]]))</f>
        <v/>
      </c>
      <c r="AV106" s="46"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4"/>
      <c r="BA10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5"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6"/>
      <c r="BJ106" s="22"/>
      <c r="BK106" s="46" t="str">
        <f aca="false">IF(OR(Tasks[[#This Row],[Task Name]]="",Tasks[[#This Row],[Baseline Duration]]=""),"",Tasks[[#This Row],[_SpanDays]]-N(Tasks[[#This Row],[Baseline Duration]]))</f>
        <v/>
      </c>
      <c r="BL106" s="85" t="str">
        <f aca="false">IF(OR(Tasks[[#This Row],[Task Name]]="",Tasks[[#This Row],[Baseline Work]]=""),"",Tasks[[#This Row],[Work]]-N(Tasks[[#This Row],[Baseline Work]]))</f>
        <v/>
      </c>
      <c r="BM106" s="62" t="str">
        <f aca="false">IF(Tasks[[#This Row],[Task Name]]="","",IF(OR(TakeBaseline="Yes",N(Tasks[[#This Row],[Baseline Start]])=0),Tasks[[#This Row],[Start]],Tasks[[#This Row],[Baseline Start]]))</f>
        <v/>
      </c>
      <c r="BN106" s="62"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5" t="str">
        <f aca="false">IF(Tasks[[#This Row],[Task Name]]="","",IF(OR(TakeBaseline="Yes",N(Tasks[[#This Row],[Baseline Work]])=0),Tasks[[#This Row],[Work]],Tasks[[#This Row],[Baseline Work]]))</f>
        <v/>
      </c>
      <c r="BQ106" s="7"/>
      <c r="BR106" s="7"/>
      <c r="BS106" s="22"/>
      <c r="BT106" s="87"/>
      <c r="BU106" s="42" t="str">
        <f aca="false">IF(Tasks[[#This Row],[Task Name]]="","",MAX(1,N(Tasks[[#This Row],[Level]])))</f>
        <v/>
      </c>
      <c r="BV106" s="42" t="n">
        <f aca="false">ROW()-ROW(Tasks[[#Headers],[ID]])</f>
        <v>101</v>
      </c>
      <c r="BW106" s="42" t="n">
        <f aca="false">IF(OR(Tasks[[#This Row],[Task Name]]="",Tasks[[#This Row],[_Level]]&lt;=1),0,IFERROR(LOOKUP(2,1/(Tasks[[#Headers],[_Level]]:Tasks[[#This Row],[_Level]]=Tasks[[#This Row],[_Level]]-1),ROW(Tasks[[#Headers],[_Level]]:Tasks[[#This Row],[_Level]])),0))</f>
        <v>0</v>
      </c>
      <c r="BX106" s="42" t="n">
        <f aca="false">IFERROR(N(INDEX(Tasks[_Level],Tasks[[#This Row],[_Row]]+1)),0)</f>
        <v>0</v>
      </c>
      <c r="BY106" s="88" t="b">
        <f aca="false">AND(Tasks[[#This Row],[Task Name]]&lt;&gt;"",Tasks[[#This Row],[_NextLevel]]&gt;Tasks[[#This Row],[_Level]])</f>
        <v>0</v>
      </c>
      <c r="BZ106" s="42" t="n">
        <f aca="false">IF(Tasks[[#This Row],[_IsSummary]],COUNTIF(Tasks[WBS],Tasks[[#This Row],[WBS]]&amp;".*"),0)</f>
        <v>0</v>
      </c>
      <c r="CA106" s="42" t="n">
        <f aca="false">IF(AND(Tasks[[#This Row],[Task Name]]&lt;&gt;"",NOT(Tasks[[#This Row],[_IsSummary]])),1,0)</f>
        <v>0</v>
      </c>
      <c r="CB106" s="42" t="n">
        <f aca="false">IF(N(Tasks[[#This Row],[_Pred1UID]])=0,0,IFERROR(MATCH(Tasks[[#This Row],[_Pred1UID]],Tasks[UID],0),-1))</f>
        <v>0</v>
      </c>
      <c r="CC106" s="42" t="n">
        <f aca="false">IF(N(Tasks[[#This Row],[_Pred2UID]])=0,0,IFERROR(MATCH(Tasks[[#This Row],[_Pred2UID]],Tasks[UID],0),-1))</f>
        <v>0</v>
      </c>
      <c r="CD106" s="42" t="n">
        <f aca="false">IF(N(Tasks[[#This Row],[_Pred3UID]])=0,0,IFERROR(MATCH(Tasks[[#This Row],[_Pred3UID]],Tasks[UID],0),-1))</f>
        <v>0</v>
      </c>
      <c r="CE106" s="42" t="n">
        <f aca="false">IF(N(Tasks[[#This Row],[_Pred4UID]])=0,0,IFERROR(MATCH(Tasks[[#This Row],[_Pred4UID]],Tasks[UID],0),-1))</f>
        <v>0</v>
      </c>
      <c r="CF10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6" s="89" t="n">
        <f aca="false">IF(OR(Tasks[[#This Row],[_ConstraintCode]]=2,Tasks[[#This Row],[_ConstraintCode]]=3,Tasks[[#This Row],[_ConstraintCode]]=4,Tasks[[#This Row],[_ConstraintCode]]=6),Tasks[[#This Row],[_ConstraintStart]],0)</f>
        <v>0</v>
      </c>
      <c r="CI106" s="89" t="n">
        <f aca="false">IF(OR(Tasks[[#This Row],[_ConstraintCode]]=2,Tasks[[#This Row],[_ConstraintCode]]=3,Tasks[[#This Row],[_ConstraintCode]]=5,Tasks[[#This Row],[_ConstraintCode]]=7),Tasks[[#This Row],[_ConstraintStart]],2958465)</f>
        <v>2958465</v>
      </c>
      <c r="CJ10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6" s="89" t="str">
        <f aca="false">IF(NOT(Tasks[[#This Row],[_IsLeaf]]=1),"",IF(N(Tasks[[#This Row],[_Days]])&lt;=0,Tasks[[#This Row],[_LeafCalcStart]],WORKDAY.INTL(Tasks[[#This Row],[_LeafCalcStart]],Tasks[[#This Row],[_Days]]-1,WorkWeek,Holidays)))</f>
        <v/>
      </c>
      <c r="CL10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6" s="42" t="str">
        <f aca="false">IF(Tasks[[#This Row],[_Predecessors]]="","",TRIM(MID(SUBSTITUTE(SUBSTITUTE(SUBSTITUTE(UPPER(Tasks[[#This Row],[_Predecessors]]),";",",")," ",""),",",REPT(" ",99)),1,99)))</f>
        <v/>
      </c>
      <c r="CO106" s="42" t="str">
        <f aca="false">IF(Tasks[[#This Row],[_Pred1Text]]="","",IFERROR(VALUE(LEFT(Tasks[[#This Row],[_Pred1Text]],MIN(FIND("F",Tasks[[#This Row],[_Pred1Text]]&amp;"F"),FIND("S",Tasks[[#This Row],[_Pred1Text]]&amp;"S"),FIND("+",Tasks[[#This Row],[_Pred1Text]]&amp;"+"),FIND("-",Tasks[[#This Row],[_Pred1Text]]&amp;"-"))-1)),""))</f>
        <v/>
      </c>
      <c r="CP10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6" s="42" t="str">
        <f aca="false">IF(Tasks[[#This Row],[_Pred1Text]]="","",TRIM(MID(SUBSTITUTE(SUBSTITUTE(SUBSTITUTE(UPPER(Tasks[[#This Row],[_Predecessors]]),";",",")," ",""),",",REPT(" ",99)),100,99)))</f>
        <v/>
      </c>
      <c r="CS106" s="42" t="str">
        <f aca="false">IF(Tasks[[#This Row],[_Pred2Text]]="","",IFERROR(VALUE(LEFT(Tasks[[#This Row],[_Pred2Text]],MIN(FIND("F",Tasks[[#This Row],[_Pred2Text]]&amp;"F"),FIND("S",Tasks[[#This Row],[_Pred2Text]]&amp;"S"),FIND("+",Tasks[[#This Row],[_Pred2Text]]&amp;"+"),FIND("-",Tasks[[#This Row],[_Pred2Text]]&amp;"-"))-1)),""))</f>
        <v/>
      </c>
      <c r="CT10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6" s="42" t="str">
        <f aca="false">IF(Tasks[[#This Row],[_Pred2Text]]="","",TRIM(MID(SUBSTITUTE(SUBSTITUTE(SUBSTITUTE(UPPER(Tasks[[#This Row],[_Predecessors]]),";",",")," ",""),",",REPT(" ",99)),199,99)))</f>
        <v/>
      </c>
      <c r="CW106" s="42" t="str">
        <f aca="false">IF(Tasks[[#This Row],[_Pred3Text]]="","",IFERROR(VALUE(LEFT(Tasks[[#This Row],[_Pred3Text]],MIN(FIND("F",Tasks[[#This Row],[_Pred3Text]]&amp;"F"),FIND("S",Tasks[[#This Row],[_Pred3Text]]&amp;"S"),FIND("+",Tasks[[#This Row],[_Pred3Text]]&amp;"+"),FIND("-",Tasks[[#This Row],[_Pred3Text]]&amp;"-"))-1)),""))</f>
        <v/>
      </c>
      <c r="CX10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6" s="42" t="str">
        <f aca="false">IF(Tasks[[#This Row],[_Pred3Text]]="","",TRIM(MID(SUBSTITUTE(SUBSTITUTE(SUBSTITUTE(UPPER(Tasks[[#This Row],[_Predecessors]]),";",",")," ",""),",",REPT(" ",99)),298,99)))</f>
        <v/>
      </c>
      <c r="DA106" s="42" t="str">
        <f aca="false">IF(Tasks[[#This Row],[_Pred4Text]]="","",IFERROR(VALUE(LEFT(Tasks[[#This Row],[_Pred4Text]],MIN(FIND("F",Tasks[[#This Row],[_Pred4Text]]&amp;"F"),FIND("S",Tasks[[#This Row],[_Pred4Text]]&amp;"S"),FIND("+",Tasks[[#This Row],[_Pred4Text]]&amp;"+"),FIND("-",Tasks[[#This Row],[_Pred4Text]]&amp;"-"))-1)),""))</f>
        <v/>
      </c>
      <c r="DB10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6" s="42" t="str">
        <f aca="false">IF(OR(Tasks[[#This Row],[Task Name]]="",Tasks[[#This Row],[_Resources]]=""),"",TRIM(MID(SUBSTITUTE(Tasks[[#This Row],[_Resources]],",",REPT(" ",99)),1,99)))</f>
        <v/>
      </c>
      <c r="DE106" s="42" t="str">
        <f aca="false">IF(Tasks[[#This Row],[_Res1Text]]="","",TRIM(MID(SUBSTITUTE(Tasks[[#This Row],[_Resources]],",",REPT(" ",99)),100,99)))</f>
        <v/>
      </c>
      <c r="DF106" s="42" t="str">
        <f aca="false">IF(Tasks[[#This Row],[_Res2Text]]="","",TRIM(MID(SUBSTITUTE(Tasks[[#This Row],[_Resources]],",",REPT(" ",99)),199,99)))</f>
        <v/>
      </c>
      <c r="DG106" s="42" t="str">
        <f aca="false">IF(Tasks[[#This Row],[_Res3Text]]="","",TRIM(MID(SUBSTITUTE(Tasks[[#This Row],[_Resources]],",",REPT(" ",99)),298,99)))</f>
        <v/>
      </c>
      <c r="DH106" s="42" t="n">
        <f aca="false">IF(Tasks[[#This Row],[_Res1Text]]="",0,IFERROR(MATCH(TRIM(LEFT(Tasks[[#This Row],[_Res1Text]],FIND("[",Tasks[[#This Row],[_Res1Text]]&amp;"[")-1)),res_Name,0),IFERROR(MATCH(TRIM(LEFT(Tasks[[#This Row],[_Res1Text]],FIND("[",Tasks[[#This Row],[_Res1Text]]&amp;"[")-1)),res_Initials,0),0)))</f>
        <v>0</v>
      </c>
      <c r="DI106" s="42" t="n">
        <f aca="false">IF(Tasks[[#This Row],[_Res2Text]]="",0,IFERROR(MATCH(TRIM(LEFT(Tasks[[#This Row],[_Res2Text]],FIND("[",Tasks[[#This Row],[_Res2Text]]&amp;"[")-1)),res_Name,0),IFERROR(MATCH(TRIM(LEFT(Tasks[[#This Row],[_Res2Text]],FIND("[",Tasks[[#This Row],[_Res2Text]]&amp;"[")-1)),res_Initials,0),0)))</f>
        <v>0</v>
      </c>
      <c r="DJ106" s="42" t="n">
        <f aca="false">IF(Tasks[[#This Row],[_Res3Text]]="",0,IFERROR(MATCH(TRIM(LEFT(Tasks[[#This Row],[_Res3Text]],FIND("[",Tasks[[#This Row],[_Res3Text]]&amp;"[")-1)),res_Name,0),IFERROR(MATCH(TRIM(LEFT(Tasks[[#This Row],[_Res3Text]],FIND("[",Tasks[[#This Row],[_Res3Text]]&amp;"[")-1)),res_Initials,0),0)))</f>
        <v>0</v>
      </c>
      <c r="DK106" s="42" t="n">
        <f aca="false">IF(Tasks[[#This Row],[_Res4Text]]="",0,IFERROR(MATCH(TRIM(LEFT(Tasks[[#This Row],[_Res4Text]],FIND("[",Tasks[[#This Row],[_Res4Text]]&amp;"[")-1)),res_Name,0),IFERROR(MATCH(TRIM(LEFT(Tasks[[#This Row],[_Res4Text]],FIND("[",Tasks[[#This Row],[_Res4Text]]&amp;"[")-1)),res_Initials,0),0)))</f>
        <v>0</v>
      </c>
      <c r="DL106" s="42" t="str">
        <f aca="false">IF(Tasks[[#This Row],[_Res1Text]]="","",IF(Tasks[[#This Row],[_Res1Row]]&gt;0,INDEX(res_Name,Tasks[[#This Row],[_Res1Row]]),TRIM(LEFT(Tasks[[#This Row],[_Res1Text]],FIND("[",Tasks[[#This Row],[_Res1Text]]&amp;"[")-1))))</f>
        <v/>
      </c>
      <c r="DM10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6" s="42" t="n">
        <f aca="false">IF(NOT(Tasks[[#This Row],[_IsLeaf]]=1),0,(Tasks[[#This Row],[_Resource1]]&lt;&gt;"")+(Tasks[[#This Row],[_Res2]]&lt;&gt;"")+(Tasks[[#This Row],[_Res3]]&lt;&gt;"")+(Tasks[[#This Row],[_Res4]]&lt;&gt;""))</f>
        <v>0</v>
      </c>
      <c r="DO106" s="42" t="str">
        <f aca="false">IF(Tasks[[#This Row],[_Res2Text]]="","",IF(Tasks[[#This Row],[_Res2Row]]&gt;0,INDEX(res_Name,Tasks[[#This Row],[_Res2Row]]),TRIM(LEFT(Tasks[[#This Row],[_Res2Text]],FIND("[",Tasks[[#This Row],[_Res2Text]]&amp;"[")-1))))</f>
        <v/>
      </c>
      <c r="DP10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6" s="42" t="n">
        <f aca="false">IF(OR(NOT(Tasks[[#This Row],[_IsLeaf]]=1),Tasks[[#This Row],[_Res2Row]]=0),0,N(Tasks[[#This Row],[_Days]])*HoursPerDay*IF(Tasks[[#This Row],[_Res2Units]]="",DefaultUnits,Tasks[[#This Row],[_Res2Units]]))</f>
        <v>0</v>
      </c>
      <c r="DR106" s="42" t="n">
        <f aca="false">IF(AND(AND(Tasks[[#This Row],[_IsLeaf]]=1,Tasks[[#This Row],[_LeafTotalWork]]&gt;0),Tasks[[#This Row],[_Res2Work]]&gt;0),Tasks[[#This Row],[_Res2Work]]/(Tasks[[#This Row],[_FinishWorkday]]-Tasks[[#This Row],[_StartWorkday]]+1),0)</f>
        <v>0</v>
      </c>
      <c r="DS106" s="42" t="n">
        <f aca="false">Tasks[[#This Row],[_Res2WorkPerWD]]*MAX(0,Tasks[[#This Row],[_StartWorkday]]-1)</f>
        <v>0</v>
      </c>
      <c r="DT106" s="42" t="n">
        <f aca="false">Tasks[[#This Row],[_Res2Work]]*Tasks[[#This Row],[_LeafProgress]]</f>
        <v>0</v>
      </c>
      <c r="DU106" s="42" t="str">
        <f aca="false">IF(Tasks[[#This Row],[_Res3Text]]="","",IF(Tasks[[#This Row],[_Res3Row]]&gt;0,INDEX(res_Name,Tasks[[#This Row],[_Res3Row]]),TRIM(LEFT(Tasks[[#This Row],[_Res3Text]],FIND("[",Tasks[[#This Row],[_Res3Text]]&amp;"[")-1))))</f>
        <v/>
      </c>
      <c r="DV10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6" s="42" t="n">
        <f aca="false">IF(OR(NOT(Tasks[[#This Row],[_IsLeaf]]=1),Tasks[[#This Row],[_Res3Row]]=0),0,N(Tasks[[#This Row],[_Days]])*HoursPerDay*IF(Tasks[[#This Row],[_Res3Units]]="",DefaultUnits,Tasks[[#This Row],[_Res3Units]]))</f>
        <v>0</v>
      </c>
      <c r="DX106" s="42" t="n">
        <f aca="false">IF(AND(AND(Tasks[[#This Row],[_IsLeaf]]=1,Tasks[[#This Row],[_LeafTotalWork]]&gt;0),Tasks[[#This Row],[_Res3Work]]&gt;0),Tasks[[#This Row],[_Res3Work]]/(Tasks[[#This Row],[_FinishWorkday]]-Tasks[[#This Row],[_StartWorkday]]+1),0)</f>
        <v>0</v>
      </c>
      <c r="DY106" s="42" t="n">
        <f aca="false">Tasks[[#This Row],[_Res3WorkPerWD]]*MAX(0,Tasks[[#This Row],[_StartWorkday]]-1)</f>
        <v>0</v>
      </c>
      <c r="DZ106" s="42" t="n">
        <f aca="false">Tasks[[#This Row],[_Res3Work]]*Tasks[[#This Row],[_LeafProgress]]</f>
        <v>0</v>
      </c>
      <c r="EA106" s="42" t="str">
        <f aca="false">IF(Tasks[[#This Row],[_Res4Text]]="","",IF(Tasks[[#This Row],[_Res4Row]]&gt;0,INDEX(res_Name,Tasks[[#This Row],[_Res4Row]]),TRIM(LEFT(Tasks[[#This Row],[_Res4Text]],FIND("[",Tasks[[#This Row],[_Res4Text]]&amp;"[")-1))))</f>
        <v/>
      </c>
      <c r="EB10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6" s="42" t="n">
        <f aca="false">IF(OR(NOT(Tasks[[#This Row],[_IsLeaf]]=1),Tasks[[#This Row],[_Res4Row]]=0),0,N(Tasks[[#This Row],[_Days]])*HoursPerDay*IF(Tasks[[#This Row],[_Res4Units]]="",DefaultUnits,Tasks[[#This Row],[_Res4Units]]))</f>
        <v>0</v>
      </c>
      <c r="ED106" s="42" t="n">
        <f aca="false">IF(AND(AND(Tasks[[#This Row],[_IsLeaf]]=1,Tasks[[#This Row],[_LeafTotalWork]]&gt;0),Tasks[[#This Row],[_Res4Work]]&gt;0),Tasks[[#This Row],[_Res4Work]]/(Tasks[[#This Row],[_FinishWorkday]]-Tasks[[#This Row],[_StartWorkday]]+1),0)</f>
        <v>0</v>
      </c>
      <c r="EE106" s="42" t="n">
        <f aca="false">Tasks[[#This Row],[_Res4WorkPerWD]]*MAX(0,Tasks[[#This Row],[_StartWorkday]]-1)</f>
        <v>0</v>
      </c>
      <c r="EF106" s="42" t="n">
        <f aca="false">Tasks[[#This Row],[_Res4Work]]*Tasks[[#This Row],[_LeafProgress]]</f>
        <v>0</v>
      </c>
      <c r="EG106" s="42" t="n">
        <f aca="false">IF(ISNUMBER(Tasks[[#This Row],[% Complete]]),Tasks[[#This Row],[% Complete]],IF(Tasks[[#This Row],[Stage]]="",0,IFERROR(INDEX(stg_Pct,MATCH(Tasks[[#This Row],[Stage]],stg_Name,0)),0)))</f>
        <v>0</v>
      </c>
      <c r="EH106" s="42" t="n">
        <f aca="false">IF(NOT(Tasks[[#This Row],[_IsLeaf]]=1),0,IF(N(Tasks[[#This Row],[Actual Finish]])&gt;0,1,MIN(1,Tasks[[#This Row],[_Pct]])))</f>
        <v>0</v>
      </c>
      <c r="EI106" s="42" t="n">
        <f aca="false">IF(OR(NOT(Tasks[[#This Row],[_IsLeaf]]=1),Tasks[[#This Row],[_Res1Row]]=0),0,N(Tasks[[#This Row],[_Days]])*HoursPerDay*IF(Tasks[[#This Row],[_Units1]]="",DefaultUnits,Tasks[[#This Row],[_Units1]]))</f>
        <v>0</v>
      </c>
      <c r="EJ106" s="42" t="n">
        <f aca="false">Tasks[[#This Row],[_LeafWork]]+Tasks[[#This Row],[_Res2Work]]+Tasks[[#This Row],[_Res3Work]]+Tasks[[#This Row],[_Res4Work]]</f>
        <v>0</v>
      </c>
      <c r="EK10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6" s="42" t="n">
        <f aca="false">IF(NOT(Tasks[[#This Row],[_IsLeaf]]=1),0,MAX(_xlfn.MAXIFS(Tasks[_Row],Tasks[_Pred1UID],Tasks[[#This Row],[UID]]),_xlfn.MAXIFS(Tasks[_Row],Tasks[_Pred2UID],Tasks[[#This Row],[UID]]),_xlfn.MAXIFS(Tasks[_Row],Tasks[_Pred3UID],Tasks[[#This Row],[UID]]),_xlfn.MAXIFS(Tasks[_Row],Tasks[_Pred4UID],Tasks[[#This Row],[UID]])))</f>
        <v>0</v>
      </c>
      <c r="ET10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6" s="89" t="str">
        <f aca="false">IF(NOT(Tasks[[#This Row],[_IsLeaf]]=1),"",IF(N(Tasks[[#This Row],[_Days]])&lt;=0,Tasks[[#This Row],[_LeafLateFinish]],WORKDAY.INTL(Tasks[[#This Row],[_LeafLateFinish]],-(Tasks[[#This Row],[_Days]]-1),WorkWeek,Holidays)))</f>
        <v/>
      </c>
      <c r="EW10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6" s="88" t="b">
        <f aca="false">AND(Tasks[[#This Row],[_IsLeaf]]=1,Tasks[[#This Row],[_LeafProgress]]&lt;1,N(Tasks[[#This Row],[_LeafTotalSlack]])&lt;=CriticalSlackDays)</f>
        <v>0</v>
      </c>
      <c r="EY106" s="42" t="n">
        <f aca="false">IF(AND(Tasks[[#This Row],[_IsLeaf]]=1,Tasks[[#This Row],[_ConstraintCode]]=1,Tasks[[#This Row],[Mode]]&lt;&gt;"Manual",N(Tasks[[#This Row],[Actual Start]])=0),MAX(0,N(Tasks[[#This Row],[Free Slack]])),0)</f>
        <v>0</v>
      </c>
      <c r="EZ106" s="89" t="str">
        <f aca="false">IF(NOT(Tasks[[#This Row],[_IsLeaf]]=1),"",IF(Tasks[[#This Row],[_AlapShift]]=0,Tasks[[#This Row],[_LeafCalcStart]],WORKDAY.INTL(Tasks[[#This Row],[_LeafCalcStart]],Tasks[[#This Row],[_AlapShift]],WorkWeek,Holidays)))</f>
        <v/>
      </c>
      <c r="FA106" s="89" t="str">
        <f aca="false">IF(NOT(Tasks[[#This Row],[_IsLeaf]]=1),"",IF(Tasks[[#This Row],[_AlapShift]]=0,Tasks[[#This Row],[_LeafCalcFinish]],WORKDAY.INTL(Tasks[[#This Row],[_LeafCalcFinish]],Tasks[[#This Row],[_AlapShift]],WorkWeek,Holidays)))</f>
        <v/>
      </c>
      <c r="FB106" s="89" t="str">
        <f aca="false">IF(NOT(Tasks[[#This Row],[_IsLeaf]]=1),"",IF(Tasks[[#This Row],[_AlapShift]]=0,Tasks[[#This Row],[_LeafFcstStart]],WORKDAY.INTL(Tasks[[#This Row],[_LeafFcstStart]],Tasks[[#This Row],[_AlapShift]],WorkWeek,Holidays)))</f>
        <v/>
      </c>
      <c r="FC106" s="89" t="str">
        <f aca="false">IF(NOT(Tasks[[#This Row],[_IsLeaf]]=1),"",IF(Tasks[[#This Row],[_AlapShift]]=0,Tasks[[#This Row],[_LeafFcstFinish]],WORKDAY.INTL(Tasks[[#This Row],[_LeafFcstFinish]],Tasks[[#This Row],[_AlapShift]],WorkWeek,Holidays)))</f>
        <v/>
      </c>
      <c r="FD106" s="89" t="str">
        <f aca="false">IF(Tasks[[#This Row],[Task Name]]="","",IF(Tasks[[#This Row],[_IsSummary]],MIN(INDEX(Tasks[_ShownCalcStart],Tasks[[#This Row],[_Row]]+1):INDEX(Tasks[_ShownCalcStart],Tasks[[#This Row],[_Row]]+Tasks[[#This Row],[_Descendants]])),Tasks[[#This Row],[_ShownCalcStart]]))</f>
        <v/>
      </c>
      <c r="FE106" s="89" t="str">
        <f aca="false">IF(Tasks[[#This Row],[Task Name]]="","",IF(Tasks[[#This Row],[_IsSummary]],MAX(INDEX(Tasks[_ShownCalcFinish],Tasks[[#This Row],[_Row]]+1):INDEX(Tasks[_ShownCalcFinish],Tasks[[#This Row],[_Row]]+Tasks[[#This Row],[_Descendants]])),Tasks[[#This Row],[_ShownCalcFinish]]))</f>
        <v/>
      </c>
      <c r="FF10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6" s="42" t="n">
        <f aca="false">IF(AND(Tasks[[#This Row],[_IsLeaf]]=1,Tasks[[#This Row],[_LeafTotalWork]]&gt;0),NETWORKDAYS.INTL(ProjectStart,Tasks[[#This Row],[_ShownFcstStart]],WorkWeek,Holidays),0)</f>
        <v>0</v>
      </c>
      <c r="FS106" s="42" t="n">
        <f aca="false">IF(AND(Tasks[[#This Row],[_IsLeaf]]=1,Tasks[[#This Row],[_LeafTotalWork]]&gt;0),MAX(Tasks[[#This Row],[_StartWorkday]],NETWORKDAYS.INTL(ProjectStart,Tasks[[#This Row],[_ShownFcstFinish]],WorkWeek,Holidays)),0)</f>
        <v>0</v>
      </c>
      <c r="FT106" s="42" t="n">
        <f aca="false">IF(AND(Tasks[[#This Row],[_IsLeaf]]=1,Tasks[[#This Row],[_LeafTotalWork]]&gt;0),Tasks[[#This Row],[_LeafWork]]/(Tasks[[#This Row],[_FinishWorkday]]-Tasks[[#This Row],[_StartWorkday]]+1),0)</f>
        <v>0</v>
      </c>
      <c r="FU106" s="42" t="n">
        <f aca="false">Tasks[[#This Row],[_WorkPerWorkday]]*(Tasks[[#This Row],[_StartWorkday]]-1)</f>
        <v>-0</v>
      </c>
      <c r="FV106" s="42" t="n">
        <f aca="false">IF(Tasks[[#This Row],[_IsLeaf]]=1,MAX(N(Tasks[[#This Row],[_Days]]),0.1),0)</f>
        <v>0</v>
      </c>
      <c r="FW106" s="42" t="n">
        <f aca="false">Tasks[[#This Row],[_WeightDur]]*Tasks[[#This Row],[_LeafProgress]]</f>
        <v>0</v>
      </c>
      <c r="FX106" s="42" t="n">
        <f aca="false">Tasks[[#This Row],[_WeightDur]]*Tasks[[#This Row],[_PlannedPct]]</f>
        <v>0</v>
      </c>
      <c r="FY10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6" s="42" t="str">
        <f aca="false">IF(AND(Tasks[[#This Row],[_IsLeaf]]=1,N(Tasks[[#This Row],[_Days]])=0,Tasks[[#This Row],[_LeafProgress]]&lt;1),Tasks[[#This Row],[_ShownFcstFinish]]+Tasks[[#This Row],[_Row]]/100000,"")</f>
        <v/>
      </c>
      <c r="GA10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6" s="42" t="str">
        <f aca="false">IF(Tasks[[#This Row],[Task Name]]="","",LEFT(Tasks[[#This Row],[WBS]],FIND(".",Tasks[[#This Row],[WBS]]&amp;".")-1))</f>
        <v/>
      </c>
      <c r="GC106" s="42" t="str">
        <f aca="false">IF(AND(Tasks[[#This Row],[Task Name]]&lt;&gt;"",Tasks[[#This Row],[_Level]]=1),Tasks[[#This Row],[_Row]],"")</f>
        <v/>
      </c>
      <c r="GD106" s="42" t="str">
        <f aca="false">IF(AND(Tasks[[#This Row],[_IsLeaf]]=1,N(Tasks[[#This Row],[_Days]])=0),Tasks[[#This Row],[Planned Finish]]+Tasks[[#This Row],[_Row]]/100000,"")</f>
        <v/>
      </c>
      <c r="GE106" s="42" t="str">
        <f aca="false">IF(AND(Tasks[[#This Row],[_IsLeaf]]=1,Tasks[[#This Row],[_LeafProgress]]&lt;1,OR(N(Tasks[[#This Row],[Finish Var]])&gt;0,Tasks[[#This Row],[Status]]="Late Start")),MAX(0,Tasks[[#This Row],[Finish Var]])+1-Tasks[[#This Row],[_Row]]/1000000,"")</f>
        <v/>
      </c>
      <c r="GF106" s="42" t="str">
        <f aca="false">IF(AND(Tasks[[#This Row],[_IsLeaf]]=1,N(Tasks[[#This Row],[Actual Start]])=0,Tasks[[#This Row],[_ShownFcstStart]]&gt;=StatusDate,Tasks[[#This Row],[_ShownFcstStart]]&lt;=LookaheadEnd),Tasks[[#This Row],[_ShownFcstStart]]+Tasks[[#This Row],[_Row]]/100000,"")</f>
        <v/>
      </c>
      <c r="GG106" s="42" t="str">
        <f aca="false">IF(AND(Tasks[[#This Row],[_IsLeaf]]=1,Tasks[[#This Row],[_LeafProgress]]&lt;1,Tasks[[#This Row],[_ShownFcstFinish]]&gt;=StatusDate,Tasks[[#This Row],[_ShownFcstFinish]]&lt;=LookaheadEnd),Tasks[[#This Row],[_ShownFcstFinish]]+Tasks[[#This Row],[_Row]]/100000,"")</f>
        <v/>
      </c>
      <c r="GH106" s="42" t="str">
        <f aca="false">IF(Tasks[[#This Row],[_LeafCritical]],Tasks[[#This Row],[_ShownFcstStart]]+Tasks[[#This Row],[_Row]]/100000,"")</f>
        <v/>
      </c>
      <c r="GI106" s="42" t="n">
        <f aca="false">Tasks[[#This Row],[_LeafWork]]*Tasks[[#This Row],[_LeafProgress]]</f>
        <v>0</v>
      </c>
      <c r="GJ106" s="89" t="str">
        <f aca="false">IF(AND(Tasks[[#This Row],[_IsLeaf]]=1,Tasks[[#This Row],[_LeafProgress]]&gt;=1),IF(N(Tasks[[#This Row],[Actual Finish]])&gt;0,Tasks[[#This Row],[Actual Finish]],Tasks[[#This Row],[_ShownFcstFinish]]),"")</f>
        <v/>
      </c>
      <c r="GK106" s="42" t="n">
        <f aca="false">IF(Tasks[[#This Row],[_IsLeaf]]=1,N(Tasks[[#This Row],[Story Points]]),0)</f>
        <v>0</v>
      </c>
      <c r="GL106" s="42" t="str">
        <f aca="false">""</f>
        <v/>
      </c>
      <c r="GM106" s="88" t="b">
        <f aca="false">IF(Tasks[[#This Row],[Task Name]]="",FALSE(),AND(Tasks[[#This Row],[_IsLeaf]]=1,N(Tasks[[#This Row],[_Days]])=0))</f>
        <v>0</v>
      </c>
      <c r="GN106" s="89" t="n">
        <f aca="false">IF(Tasks[[#This Row],[Task Name]]="",0,IF(AND(Tasks[[#This Row],[_IsLeaf]]=1,NOT(Tasks[[#This Row],[_IsMilestone]]),N(Tasks[[#This Row],[Progress]])&gt;0),Tasks[[#This Row],[Start]],0))</f>
        <v>0</v>
      </c>
      <c r="GO106" s="89" t="n">
        <f aca="false">IF(Tasks[[#This Row],[_DoneFrom]]=0,0,IF(Tasks[[#This Row],[Progress]]&gt;=1,Tasks[[#This Row],[Finish]],MAX(Tasks[[#This Row],[_DoneFrom]],Tasks[[#This Row],[Start]]+ROUND((Tasks[[#This Row],[Finish]]-Tasks[[#This Row],[Start]]+1)*Tasks[[#This Row],[Progress]],0)-1)))</f>
        <v>0</v>
      </c>
      <c r="GP106" s="89" t="n">
        <f aca="false">IF(Tasks[[#This Row],[Task Name]]="",0,IF(OR(NOT(Tasks[[#This Row],[_IsLeaf]]=1),Tasks[[#This Row],[_IsMilestone]],N(Tasks[[#This Row],[Progress]])&gt;=1),0,IF(Tasks[[#This Row],[_DoneTo]]&gt;0,Tasks[[#This Row],[_DoneTo]]+1,Tasks[[#This Row],[Start]])))</f>
        <v>0</v>
      </c>
      <c r="GQ106" s="89" t="n">
        <f aca="false">IF(Tasks[[#This Row],[_RemFrom]]=0,0,Tasks[[#This Row],[Finish]])</f>
        <v>0</v>
      </c>
      <c r="GR106" s="88" t="b">
        <f aca="false">IF(Tasks[[#This Row],[Task Name]]="",FALSE(),OR(NOT(BaselineSet),N(Tasks[[#This Row],[Baseline Start]])&gt;0))</f>
        <v>0</v>
      </c>
      <c r="GS10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6" s="90" t="str">
        <f aca="false">IF(Tasks[[#This Row],[_IsLeaf]]=1,Tasks[[#This Row],[_Row]],"")</f>
        <v/>
      </c>
      <c r="GW106" s="90" t="str">
        <f aca="false">IFERROR(INDEX(Tasks[UID],SMALL(Tasks[_PickKey],Tasks[[#This Row],[_Row]]))&amp;" "&amp;INDEX(Tasks[Task Name],SMALL(Tasks[_PickKey],Tasks[[#This Row],[_Row]])),"")</f>
        <v/>
      </c>
      <c r="GX106" s="42" t="str">
        <f aca="false">IF(Tasks[[#This Row],[Task Name]]="","",IF(Tasks[[#This Row],[_IsSummary]],NETWORKDAYS.INTL(Tasks[[#This Row],[Start]],Tasks[[#This Row],[Finish]],WorkWeek,Holidays),N(Tasks[[#This Row],[_Days]])))</f>
        <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3"/>
      <c r="U107" s="23"/>
      <c r="V107" s="83"/>
      <c r="W107" s="23"/>
      <c r="X107" s="83"/>
      <c r="Y107" s="23"/>
      <c r="Z107" s="83"/>
      <c r="AA107" s="23"/>
      <c r="AB107" s="23"/>
      <c r="AC107" s="7"/>
      <c r="AD107" s="7"/>
      <c r="AE107" s="62" t="str">
        <f aca="false">IF(Tasks[[#This Row],[Task Name]]="","",IF(Tasks[[#This Row],[_IsSummary]],MIN(INDEX(Tasks[_ShownFcstStart],Tasks[[#This Row],[_Row]]+1):INDEX(Tasks[_ShownFcstStart],Tasks[[#This Row],[_Row]]+Tasks[[#This Row],[_Descendants]])),Tasks[[#This Row],[_ShownFcstStart]]))</f>
        <v/>
      </c>
      <c r="AF107" s="62"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7" s="7"/>
      <c r="AK107" s="22"/>
      <c r="AL107" s="23"/>
      <c r="AM107" s="7"/>
      <c r="AN107" s="46"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2" t="str">
        <f aca="false">IF(Tasks[[#This Row],[Task Name]]="","",IF(N(Tasks[[#This Row],[Baseline Start]])&gt;0,Tasks[[#This Row],[Baseline Start]],Tasks[[#This Row],[_CalcStart]]))</f>
        <v/>
      </c>
      <c r="AR107" s="62" t="str">
        <f aca="false">IF(Tasks[[#This Row],[Task Name]]="","",IF(N(Tasks[[#This Row],[Baseline Finish]])&gt;0,Tasks[[#This Row],[Baseline Finish]],Tasks[[#This Row],[_CalcFinish]]))</f>
        <v/>
      </c>
      <c r="AS107" s="46" t="str">
        <f aca="false">IF(Tasks[[#This Row],[Task Name]]="","",IF(Tasks[[#This Row],[Start]]&gt;=Tasks[[#This Row],[Planned Start]],NETWORKDAYS.INTL(Tasks[[#This Row],[Planned Start]],Tasks[[#This Row],[Start]],WorkWeek,Holidays)-1,1-NETWORKDAYS.INTL(Tasks[[#This Row],[Start]],Tasks[[#This Row],[Planned Start]],WorkWeek,Holidays)))</f>
        <v/>
      </c>
      <c r="AT107" s="62" t="str">
        <f aca="false">IF(Tasks[[#This Row],[Task Name]]="","",IF(Tasks[[#This Row],[_IsSummary]],MIN(INDEX(Tasks[_LeafLateStart],Tasks[[#This Row],[_Row]]+1):INDEX(Tasks[_LeafLateStart],Tasks[[#This Row],[_Row]]+Tasks[[#This Row],[_Descendants]])),Tasks[[#This Row],[_LeafLateStart]]))</f>
        <v/>
      </c>
      <c r="AU107" s="62" t="str">
        <f aca="false">IF(Tasks[[#This Row],[Task Name]]="","",IF(Tasks[[#This Row],[_IsSummary]],MAX(INDEX(Tasks[_LeafLateFinish],Tasks[[#This Row],[_Row]]+1):INDEX(Tasks[_LeafLateFinish],Tasks[[#This Row],[_Row]]+Tasks[[#This Row],[_Descendants]])),Tasks[[#This Row],[_LeafLateFinish]]))</f>
        <v/>
      </c>
      <c r="AV107" s="46"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4"/>
      <c r="BA10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5"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6"/>
      <c r="BJ107" s="22"/>
      <c r="BK107" s="46" t="str">
        <f aca="false">IF(OR(Tasks[[#This Row],[Task Name]]="",Tasks[[#This Row],[Baseline Duration]]=""),"",Tasks[[#This Row],[_SpanDays]]-N(Tasks[[#This Row],[Baseline Duration]]))</f>
        <v/>
      </c>
      <c r="BL107" s="85" t="str">
        <f aca="false">IF(OR(Tasks[[#This Row],[Task Name]]="",Tasks[[#This Row],[Baseline Work]]=""),"",Tasks[[#This Row],[Work]]-N(Tasks[[#This Row],[Baseline Work]]))</f>
        <v/>
      </c>
      <c r="BM107" s="62" t="str">
        <f aca="false">IF(Tasks[[#This Row],[Task Name]]="","",IF(OR(TakeBaseline="Yes",N(Tasks[[#This Row],[Baseline Start]])=0),Tasks[[#This Row],[Start]],Tasks[[#This Row],[Baseline Start]]))</f>
        <v/>
      </c>
      <c r="BN107" s="62"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5" t="str">
        <f aca="false">IF(Tasks[[#This Row],[Task Name]]="","",IF(OR(TakeBaseline="Yes",N(Tasks[[#This Row],[Baseline Work]])=0),Tasks[[#This Row],[Work]],Tasks[[#This Row],[Baseline Work]]))</f>
        <v/>
      </c>
      <c r="BQ107" s="7"/>
      <c r="BR107" s="7"/>
      <c r="BS107" s="22"/>
      <c r="BT107" s="87"/>
      <c r="BU107" s="42" t="str">
        <f aca="false">IF(Tasks[[#This Row],[Task Name]]="","",MAX(1,N(Tasks[[#This Row],[Level]])))</f>
        <v/>
      </c>
      <c r="BV107" s="42" t="n">
        <f aca="false">ROW()-ROW(Tasks[[#Headers],[ID]])</f>
        <v>102</v>
      </c>
      <c r="BW107" s="42" t="n">
        <f aca="false">IF(OR(Tasks[[#This Row],[Task Name]]="",Tasks[[#This Row],[_Level]]&lt;=1),0,IFERROR(LOOKUP(2,1/(Tasks[[#Headers],[_Level]]:Tasks[[#This Row],[_Level]]=Tasks[[#This Row],[_Level]]-1),ROW(Tasks[[#Headers],[_Level]]:Tasks[[#This Row],[_Level]])),0))</f>
        <v>0</v>
      </c>
      <c r="BX107" s="42" t="n">
        <f aca="false">IFERROR(N(INDEX(Tasks[_Level],Tasks[[#This Row],[_Row]]+1)),0)</f>
        <v>0</v>
      </c>
      <c r="BY107" s="88" t="b">
        <f aca="false">AND(Tasks[[#This Row],[Task Name]]&lt;&gt;"",Tasks[[#This Row],[_NextLevel]]&gt;Tasks[[#This Row],[_Level]])</f>
        <v>0</v>
      </c>
      <c r="BZ107" s="42" t="n">
        <f aca="false">IF(Tasks[[#This Row],[_IsSummary]],COUNTIF(Tasks[WBS],Tasks[[#This Row],[WBS]]&amp;".*"),0)</f>
        <v>0</v>
      </c>
      <c r="CA107" s="42" t="n">
        <f aca="false">IF(AND(Tasks[[#This Row],[Task Name]]&lt;&gt;"",NOT(Tasks[[#This Row],[_IsSummary]])),1,0)</f>
        <v>0</v>
      </c>
      <c r="CB107" s="42" t="n">
        <f aca="false">IF(N(Tasks[[#This Row],[_Pred1UID]])=0,0,IFERROR(MATCH(Tasks[[#This Row],[_Pred1UID]],Tasks[UID],0),-1))</f>
        <v>0</v>
      </c>
      <c r="CC107" s="42" t="n">
        <f aca="false">IF(N(Tasks[[#This Row],[_Pred2UID]])=0,0,IFERROR(MATCH(Tasks[[#This Row],[_Pred2UID]],Tasks[UID],0),-1))</f>
        <v>0</v>
      </c>
      <c r="CD107" s="42" t="n">
        <f aca="false">IF(N(Tasks[[#This Row],[_Pred3UID]])=0,0,IFERROR(MATCH(Tasks[[#This Row],[_Pred3UID]],Tasks[UID],0),-1))</f>
        <v>0</v>
      </c>
      <c r="CE107" s="42" t="n">
        <f aca="false">IF(N(Tasks[[#This Row],[_Pred4UID]])=0,0,IFERROR(MATCH(Tasks[[#This Row],[_Pred4UID]],Tasks[UID],0),-1))</f>
        <v>0</v>
      </c>
      <c r="CF10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7" s="89" t="n">
        <f aca="false">IF(OR(Tasks[[#This Row],[_ConstraintCode]]=2,Tasks[[#This Row],[_ConstraintCode]]=3,Tasks[[#This Row],[_ConstraintCode]]=4,Tasks[[#This Row],[_ConstraintCode]]=6),Tasks[[#This Row],[_ConstraintStart]],0)</f>
        <v>0</v>
      </c>
      <c r="CI107" s="89" t="n">
        <f aca="false">IF(OR(Tasks[[#This Row],[_ConstraintCode]]=2,Tasks[[#This Row],[_ConstraintCode]]=3,Tasks[[#This Row],[_ConstraintCode]]=5,Tasks[[#This Row],[_ConstraintCode]]=7),Tasks[[#This Row],[_ConstraintStart]],2958465)</f>
        <v>2958465</v>
      </c>
      <c r="CJ10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7" s="89" t="str">
        <f aca="false">IF(NOT(Tasks[[#This Row],[_IsLeaf]]=1),"",IF(N(Tasks[[#This Row],[_Days]])&lt;=0,Tasks[[#This Row],[_LeafCalcStart]],WORKDAY.INTL(Tasks[[#This Row],[_LeafCalcStart]],Tasks[[#This Row],[_Days]]-1,WorkWeek,Holidays)))</f>
        <v/>
      </c>
      <c r="CL10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7" s="42" t="str">
        <f aca="false">IF(Tasks[[#This Row],[_Predecessors]]="","",TRIM(MID(SUBSTITUTE(SUBSTITUTE(SUBSTITUTE(UPPER(Tasks[[#This Row],[_Predecessors]]),";",",")," ",""),",",REPT(" ",99)),1,99)))</f>
        <v/>
      </c>
      <c r="CO107" s="42" t="str">
        <f aca="false">IF(Tasks[[#This Row],[_Pred1Text]]="","",IFERROR(VALUE(LEFT(Tasks[[#This Row],[_Pred1Text]],MIN(FIND("F",Tasks[[#This Row],[_Pred1Text]]&amp;"F"),FIND("S",Tasks[[#This Row],[_Pred1Text]]&amp;"S"),FIND("+",Tasks[[#This Row],[_Pred1Text]]&amp;"+"),FIND("-",Tasks[[#This Row],[_Pred1Text]]&amp;"-"))-1)),""))</f>
        <v/>
      </c>
      <c r="CP10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7" s="42" t="str">
        <f aca="false">IF(Tasks[[#This Row],[_Pred1Text]]="","",TRIM(MID(SUBSTITUTE(SUBSTITUTE(SUBSTITUTE(UPPER(Tasks[[#This Row],[_Predecessors]]),";",",")," ",""),",",REPT(" ",99)),100,99)))</f>
        <v/>
      </c>
      <c r="CS107" s="42" t="str">
        <f aca="false">IF(Tasks[[#This Row],[_Pred2Text]]="","",IFERROR(VALUE(LEFT(Tasks[[#This Row],[_Pred2Text]],MIN(FIND("F",Tasks[[#This Row],[_Pred2Text]]&amp;"F"),FIND("S",Tasks[[#This Row],[_Pred2Text]]&amp;"S"),FIND("+",Tasks[[#This Row],[_Pred2Text]]&amp;"+"),FIND("-",Tasks[[#This Row],[_Pred2Text]]&amp;"-"))-1)),""))</f>
        <v/>
      </c>
      <c r="CT10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7" s="42" t="str">
        <f aca="false">IF(Tasks[[#This Row],[_Pred2Text]]="","",TRIM(MID(SUBSTITUTE(SUBSTITUTE(SUBSTITUTE(UPPER(Tasks[[#This Row],[_Predecessors]]),";",",")," ",""),",",REPT(" ",99)),199,99)))</f>
        <v/>
      </c>
      <c r="CW107" s="42" t="str">
        <f aca="false">IF(Tasks[[#This Row],[_Pred3Text]]="","",IFERROR(VALUE(LEFT(Tasks[[#This Row],[_Pred3Text]],MIN(FIND("F",Tasks[[#This Row],[_Pred3Text]]&amp;"F"),FIND("S",Tasks[[#This Row],[_Pred3Text]]&amp;"S"),FIND("+",Tasks[[#This Row],[_Pred3Text]]&amp;"+"),FIND("-",Tasks[[#This Row],[_Pred3Text]]&amp;"-"))-1)),""))</f>
        <v/>
      </c>
      <c r="CX10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7" s="42" t="str">
        <f aca="false">IF(Tasks[[#This Row],[_Pred3Text]]="","",TRIM(MID(SUBSTITUTE(SUBSTITUTE(SUBSTITUTE(UPPER(Tasks[[#This Row],[_Predecessors]]),";",",")," ",""),",",REPT(" ",99)),298,99)))</f>
        <v/>
      </c>
      <c r="DA107" s="42" t="str">
        <f aca="false">IF(Tasks[[#This Row],[_Pred4Text]]="","",IFERROR(VALUE(LEFT(Tasks[[#This Row],[_Pred4Text]],MIN(FIND("F",Tasks[[#This Row],[_Pred4Text]]&amp;"F"),FIND("S",Tasks[[#This Row],[_Pred4Text]]&amp;"S"),FIND("+",Tasks[[#This Row],[_Pred4Text]]&amp;"+"),FIND("-",Tasks[[#This Row],[_Pred4Text]]&amp;"-"))-1)),""))</f>
        <v/>
      </c>
      <c r="DB10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7" s="42" t="str">
        <f aca="false">IF(OR(Tasks[[#This Row],[Task Name]]="",Tasks[[#This Row],[_Resources]]=""),"",TRIM(MID(SUBSTITUTE(Tasks[[#This Row],[_Resources]],",",REPT(" ",99)),1,99)))</f>
        <v/>
      </c>
      <c r="DE107" s="42" t="str">
        <f aca="false">IF(Tasks[[#This Row],[_Res1Text]]="","",TRIM(MID(SUBSTITUTE(Tasks[[#This Row],[_Resources]],",",REPT(" ",99)),100,99)))</f>
        <v/>
      </c>
      <c r="DF107" s="42" t="str">
        <f aca="false">IF(Tasks[[#This Row],[_Res2Text]]="","",TRIM(MID(SUBSTITUTE(Tasks[[#This Row],[_Resources]],",",REPT(" ",99)),199,99)))</f>
        <v/>
      </c>
      <c r="DG107" s="42" t="str">
        <f aca="false">IF(Tasks[[#This Row],[_Res3Text]]="","",TRIM(MID(SUBSTITUTE(Tasks[[#This Row],[_Resources]],",",REPT(" ",99)),298,99)))</f>
        <v/>
      </c>
      <c r="DH107" s="42" t="n">
        <f aca="false">IF(Tasks[[#This Row],[_Res1Text]]="",0,IFERROR(MATCH(TRIM(LEFT(Tasks[[#This Row],[_Res1Text]],FIND("[",Tasks[[#This Row],[_Res1Text]]&amp;"[")-1)),res_Name,0),IFERROR(MATCH(TRIM(LEFT(Tasks[[#This Row],[_Res1Text]],FIND("[",Tasks[[#This Row],[_Res1Text]]&amp;"[")-1)),res_Initials,0),0)))</f>
        <v>0</v>
      </c>
      <c r="DI107" s="42" t="n">
        <f aca="false">IF(Tasks[[#This Row],[_Res2Text]]="",0,IFERROR(MATCH(TRIM(LEFT(Tasks[[#This Row],[_Res2Text]],FIND("[",Tasks[[#This Row],[_Res2Text]]&amp;"[")-1)),res_Name,0),IFERROR(MATCH(TRIM(LEFT(Tasks[[#This Row],[_Res2Text]],FIND("[",Tasks[[#This Row],[_Res2Text]]&amp;"[")-1)),res_Initials,0),0)))</f>
        <v>0</v>
      </c>
      <c r="DJ107" s="42" t="n">
        <f aca="false">IF(Tasks[[#This Row],[_Res3Text]]="",0,IFERROR(MATCH(TRIM(LEFT(Tasks[[#This Row],[_Res3Text]],FIND("[",Tasks[[#This Row],[_Res3Text]]&amp;"[")-1)),res_Name,0),IFERROR(MATCH(TRIM(LEFT(Tasks[[#This Row],[_Res3Text]],FIND("[",Tasks[[#This Row],[_Res3Text]]&amp;"[")-1)),res_Initials,0),0)))</f>
        <v>0</v>
      </c>
      <c r="DK107" s="42" t="n">
        <f aca="false">IF(Tasks[[#This Row],[_Res4Text]]="",0,IFERROR(MATCH(TRIM(LEFT(Tasks[[#This Row],[_Res4Text]],FIND("[",Tasks[[#This Row],[_Res4Text]]&amp;"[")-1)),res_Name,0),IFERROR(MATCH(TRIM(LEFT(Tasks[[#This Row],[_Res4Text]],FIND("[",Tasks[[#This Row],[_Res4Text]]&amp;"[")-1)),res_Initials,0),0)))</f>
        <v>0</v>
      </c>
      <c r="DL107" s="42" t="str">
        <f aca="false">IF(Tasks[[#This Row],[_Res1Text]]="","",IF(Tasks[[#This Row],[_Res1Row]]&gt;0,INDEX(res_Name,Tasks[[#This Row],[_Res1Row]]),TRIM(LEFT(Tasks[[#This Row],[_Res1Text]],FIND("[",Tasks[[#This Row],[_Res1Text]]&amp;"[")-1))))</f>
        <v/>
      </c>
      <c r="DM10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7" s="42" t="n">
        <f aca="false">IF(NOT(Tasks[[#This Row],[_IsLeaf]]=1),0,(Tasks[[#This Row],[_Resource1]]&lt;&gt;"")+(Tasks[[#This Row],[_Res2]]&lt;&gt;"")+(Tasks[[#This Row],[_Res3]]&lt;&gt;"")+(Tasks[[#This Row],[_Res4]]&lt;&gt;""))</f>
        <v>0</v>
      </c>
      <c r="DO107" s="42" t="str">
        <f aca="false">IF(Tasks[[#This Row],[_Res2Text]]="","",IF(Tasks[[#This Row],[_Res2Row]]&gt;0,INDEX(res_Name,Tasks[[#This Row],[_Res2Row]]),TRIM(LEFT(Tasks[[#This Row],[_Res2Text]],FIND("[",Tasks[[#This Row],[_Res2Text]]&amp;"[")-1))))</f>
        <v/>
      </c>
      <c r="DP10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7" s="42" t="n">
        <f aca="false">IF(OR(NOT(Tasks[[#This Row],[_IsLeaf]]=1),Tasks[[#This Row],[_Res2Row]]=0),0,N(Tasks[[#This Row],[_Days]])*HoursPerDay*IF(Tasks[[#This Row],[_Res2Units]]="",DefaultUnits,Tasks[[#This Row],[_Res2Units]]))</f>
        <v>0</v>
      </c>
      <c r="DR107" s="42" t="n">
        <f aca="false">IF(AND(AND(Tasks[[#This Row],[_IsLeaf]]=1,Tasks[[#This Row],[_LeafTotalWork]]&gt;0),Tasks[[#This Row],[_Res2Work]]&gt;0),Tasks[[#This Row],[_Res2Work]]/(Tasks[[#This Row],[_FinishWorkday]]-Tasks[[#This Row],[_StartWorkday]]+1),0)</f>
        <v>0</v>
      </c>
      <c r="DS107" s="42" t="n">
        <f aca="false">Tasks[[#This Row],[_Res2WorkPerWD]]*MAX(0,Tasks[[#This Row],[_StartWorkday]]-1)</f>
        <v>0</v>
      </c>
      <c r="DT107" s="42" t="n">
        <f aca="false">Tasks[[#This Row],[_Res2Work]]*Tasks[[#This Row],[_LeafProgress]]</f>
        <v>0</v>
      </c>
      <c r="DU107" s="42" t="str">
        <f aca="false">IF(Tasks[[#This Row],[_Res3Text]]="","",IF(Tasks[[#This Row],[_Res3Row]]&gt;0,INDEX(res_Name,Tasks[[#This Row],[_Res3Row]]),TRIM(LEFT(Tasks[[#This Row],[_Res3Text]],FIND("[",Tasks[[#This Row],[_Res3Text]]&amp;"[")-1))))</f>
        <v/>
      </c>
      <c r="DV10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7" s="42" t="n">
        <f aca="false">IF(OR(NOT(Tasks[[#This Row],[_IsLeaf]]=1),Tasks[[#This Row],[_Res3Row]]=0),0,N(Tasks[[#This Row],[_Days]])*HoursPerDay*IF(Tasks[[#This Row],[_Res3Units]]="",DefaultUnits,Tasks[[#This Row],[_Res3Units]]))</f>
        <v>0</v>
      </c>
      <c r="DX107" s="42" t="n">
        <f aca="false">IF(AND(AND(Tasks[[#This Row],[_IsLeaf]]=1,Tasks[[#This Row],[_LeafTotalWork]]&gt;0),Tasks[[#This Row],[_Res3Work]]&gt;0),Tasks[[#This Row],[_Res3Work]]/(Tasks[[#This Row],[_FinishWorkday]]-Tasks[[#This Row],[_StartWorkday]]+1),0)</f>
        <v>0</v>
      </c>
      <c r="DY107" s="42" t="n">
        <f aca="false">Tasks[[#This Row],[_Res3WorkPerWD]]*MAX(0,Tasks[[#This Row],[_StartWorkday]]-1)</f>
        <v>0</v>
      </c>
      <c r="DZ107" s="42" t="n">
        <f aca="false">Tasks[[#This Row],[_Res3Work]]*Tasks[[#This Row],[_LeafProgress]]</f>
        <v>0</v>
      </c>
      <c r="EA107" s="42" t="str">
        <f aca="false">IF(Tasks[[#This Row],[_Res4Text]]="","",IF(Tasks[[#This Row],[_Res4Row]]&gt;0,INDEX(res_Name,Tasks[[#This Row],[_Res4Row]]),TRIM(LEFT(Tasks[[#This Row],[_Res4Text]],FIND("[",Tasks[[#This Row],[_Res4Text]]&amp;"[")-1))))</f>
        <v/>
      </c>
      <c r="EB10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7" s="42" t="n">
        <f aca="false">IF(OR(NOT(Tasks[[#This Row],[_IsLeaf]]=1),Tasks[[#This Row],[_Res4Row]]=0),0,N(Tasks[[#This Row],[_Days]])*HoursPerDay*IF(Tasks[[#This Row],[_Res4Units]]="",DefaultUnits,Tasks[[#This Row],[_Res4Units]]))</f>
        <v>0</v>
      </c>
      <c r="ED107" s="42" t="n">
        <f aca="false">IF(AND(AND(Tasks[[#This Row],[_IsLeaf]]=1,Tasks[[#This Row],[_LeafTotalWork]]&gt;0),Tasks[[#This Row],[_Res4Work]]&gt;0),Tasks[[#This Row],[_Res4Work]]/(Tasks[[#This Row],[_FinishWorkday]]-Tasks[[#This Row],[_StartWorkday]]+1),0)</f>
        <v>0</v>
      </c>
      <c r="EE107" s="42" t="n">
        <f aca="false">Tasks[[#This Row],[_Res4WorkPerWD]]*MAX(0,Tasks[[#This Row],[_StartWorkday]]-1)</f>
        <v>0</v>
      </c>
      <c r="EF107" s="42" t="n">
        <f aca="false">Tasks[[#This Row],[_Res4Work]]*Tasks[[#This Row],[_LeafProgress]]</f>
        <v>0</v>
      </c>
      <c r="EG107" s="42" t="n">
        <f aca="false">IF(ISNUMBER(Tasks[[#This Row],[% Complete]]),Tasks[[#This Row],[% Complete]],IF(Tasks[[#This Row],[Stage]]="",0,IFERROR(INDEX(stg_Pct,MATCH(Tasks[[#This Row],[Stage]],stg_Name,0)),0)))</f>
        <v>0</v>
      </c>
      <c r="EH107" s="42" t="n">
        <f aca="false">IF(NOT(Tasks[[#This Row],[_IsLeaf]]=1),0,IF(N(Tasks[[#This Row],[Actual Finish]])&gt;0,1,MIN(1,Tasks[[#This Row],[_Pct]])))</f>
        <v>0</v>
      </c>
      <c r="EI107" s="42" t="n">
        <f aca="false">IF(OR(NOT(Tasks[[#This Row],[_IsLeaf]]=1),Tasks[[#This Row],[_Res1Row]]=0),0,N(Tasks[[#This Row],[_Days]])*HoursPerDay*IF(Tasks[[#This Row],[_Units1]]="",DefaultUnits,Tasks[[#This Row],[_Units1]]))</f>
        <v>0</v>
      </c>
      <c r="EJ107" s="42" t="n">
        <f aca="false">Tasks[[#This Row],[_LeafWork]]+Tasks[[#This Row],[_Res2Work]]+Tasks[[#This Row],[_Res3Work]]+Tasks[[#This Row],[_Res4Work]]</f>
        <v>0</v>
      </c>
      <c r="EK10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7" s="42" t="n">
        <f aca="false">IF(NOT(Tasks[[#This Row],[_IsLeaf]]=1),0,MAX(_xlfn.MAXIFS(Tasks[_Row],Tasks[_Pred1UID],Tasks[[#This Row],[UID]]),_xlfn.MAXIFS(Tasks[_Row],Tasks[_Pred2UID],Tasks[[#This Row],[UID]]),_xlfn.MAXIFS(Tasks[_Row],Tasks[_Pred3UID],Tasks[[#This Row],[UID]]),_xlfn.MAXIFS(Tasks[_Row],Tasks[_Pred4UID],Tasks[[#This Row],[UID]])))</f>
        <v>0</v>
      </c>
      <c r="ET10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7" s="89" t="str">
        <f aca="false">IF(NOT(Tasks[[#This Row],[_IsLeaf]]=1),"",IF(N(Tasks[[#This Row],[_Days]])&lt;=0,Tasks[[#This Row],[_LeafLateFinish]],WORKDAY.INTL(Tasks[[#This Row],[_LeafLateFinish]],-(Tasks[[#This Row],[_Days]]-1),WorkWeek,Holidays)))</f>
        <v/>
      </c>
      <c r="EW10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7" s="88" t="b">
        <f aca="false">AND(Tasks[[#This Row],[_IsLeaf]]=1,Tasks[[#This Row],[_LeafProgress]]&lt;1,N(Tasks[[#This Row],[_LeafTotalSlack]])&lt;=CriticalSlackDays)</f>
        <v>0</v>
      </c>
      <c r="EY107" s="42" t="n">
        <f aca="false">IF(AND(Tasks[[#This Row],[_IsLeaf]]=1,Tasks[[#This Row],[_ConstraintCode]]=1,Tasks[[#This Row],[Mode]]&lt;&gt;"Manual",N(Tasks[[#This Row],[Actual Start]])=0),MAX(0,N(Tasks[[#This Row],[Free Slack]])),0)</f>
        <v>0</v>
      </c>
      <c r="EZ107" s="89" t="str">
        <f aca="false">IF(NOT(Tasks[[#This Row],[_IsLeaf]]=1),"",IF(Tasks[[#This Row],[_AlapShift]]=0,Tasks[[#This Row],[_LeafCalcStart]],WORKDAY.INTL(Tasks[[#This Row],[_LeafCalcStart]],Tasks[[#This Row],[_AlapShift]],WorkWeek,Holidays)))</f>
        <v/>
      </c>
      <c r="FA107" s="89" t="str">
        <f aca="false">IF(NOT(Tasks[[#This Row],[_IsLeaf]]=1),"",IF(Tasks[[#This Row],[_AlapShift]]=0,Tasks[[#This Row],[_LeafCalcFinish]],WORKDAY.INTL(Tasks[[#This Row],[_LeafCalcFinish]],Tasks[[#This Row],[_AlapShift]],WorkWeek,Holidays)))</f>
        <v/>
      </c>
      <c r="FB107" s="89" t="str">
        <f aca="false">IF(NOT(Tasks[[#This Row],[_IsLeaf]]=1),"",IF(Tasks[[#This Row],[_AlapShift]]=0,Tasks[[#This Row],[_LeafFcstStart]],WORKDAY.INTL(Tasks[[#This Row],[_LeafFcstStart]],Tasks[[#This Row],[_AlapShift]],WorkWeek,Holidays)))</f>
        <v/>
      </c>
      <c r="FC107" s="89" t="str">
        <f aca="false">IF(NOT(Tasks[[#This Row],[_IsLeaf]]=1),"",IF(Tasks[[#This Row],[_AlapShift]]=0,Tasks[[#This Row],[_LeafFcstFinish]],WORKDAY.INTL(Tasks[[#This Row],[_LeafFcstFinish]],Tasks[[#This Row],[_AlapShift]],WorkWeek,Holidays)))</f>
        <v/>
      </c>
      <c r="FD107" s="89" t="str">
        <f aca="false">IF(Tasks[[#This Row],[Task Name]]="","",IF(Tasks[[#This Row],[_IsSummary]],MIN(INDEX(Tasks[_ShownCalcStart],Tasks[[#This Row],[_Row]]+1):INDEX(Tasks[_ShownCalcStart],Tasks[[#This Row],[_Row]]+Tasks[[#This Row],[_Descendants]])),Tasks[[#This Row],[_ShownCalcStart]]))</f>
        <v/>
      </c>
      <c r="FE107" s="89" t="str">
        <f aca="false">IF(Tasks[[#This Row],[Task Name]]="","",IF(Tasks[[#This Row],[_IsSummary]],MAX(INDEX(Tasks[_ShownCalcFinish],Tasks[[#This Row],[_Row]]+1):INDEX(Tasks[_ShownCalcFinish],Tasks[[#This Row],[_Row]]+Tasks[[#This Row],[_Descendants]])),Tasks[[#This Row],[_ShownCalcFinish]]))</f>
        <v/>
      </c>
      <c r="FF10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7" s="42" t="n">
        <f aca="false">IF(AND(Tasks[[#This Row],[_IsLeaf]]=1,Tasks[[#This Row],[_LeafTotalWork]]&gt;0),NETWORKDAYS.INTL(ProjectStart,Tasks[[#This Row],[_ShownFcstStart]],WorkWeek,Holidays),0)</f>
        <v>0</v>
      </c>
      <c r="FS107" s="42" t="n">
        <f aca="false">IF(AND(Tasks[[#This Row],[_IsLeaf]]=1,Tasks[[#This Row],[_LeafTotalWork]]&gt;0),MAX(Tasks[[#This Row],[_StartWorkday]],NETWORKDAYS.INTL(ProjectStart,Tasks[[#This Row],[_ShownFcstFinish]],WorkWeek,Holidays)),0)</f>
        <v>0</v>
      </c>
      <c r="FT107" s="42" t="n">
        <f aca="false">IF(AND(Tasks[[#This Row],[_IsLeaf]]=1,Tasks[[#This Row],[_LeafTotalWork]]&gt;0),Tasks[[#This Row],[_LeafWork]]/(Tasks[[#This Row],[_FinishWorkday]]-Tasks[[#This Row],[_StartWorkday]]+1),0)</f>
        <v>0</v>
      </c>
      <c r="FU107" s="42" t="n">
        <f aca="false">Tasks[[#This Row],[_WorkPerWorkday]]*(Tasks[[#This Row],[_StartWorkday]]-1)</f>
        <v>-0</v>
      </c>
      <c r="FV107" s="42" t="n">
        <f aca="false">IF(Tasks[[#This Row],[_IsLeaf]]=1,MAX(N(Tasks[[#This Row],[_Days]]),0.1),0)</f>
        <v>0</v>
      </c>
      <c r="FW107" s="42" t="n">
        <f aca="false">Tasks[[#This Row],[_WeightDur]]*Tasks[[#This Row],[_LeafProgress]]</f>
        <v>0</v>
      </c>
      <c r="FX107" s="42" t="n">
        <f aca="false">Tasks[[#This Row],[_WeightDur]]*Tasks[[#This Row],[_PlannedPct]]</f>
        <v>0</v>
      </c>
      <c r="FY10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7" s="42" t="str">
        <f aca="false">IF(AND(Tasks[[#This Row],[_IsLeaf]]=1,N(Tasks[[#This Row],[_Days]])=0,Tasks[[#This Row],[_LeafProgress]]&lt;1),Tasks[[#This Row],[_ShownFcstFinish]]+Tasks[[#This Row],[_Row]]/100000,"")</f>
        <v/>
      </c>
      <c r="GA10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7" s="42" t="str">
        <f aca="false">IF(Tasks[[#This Row],[Task Name]]="","",LEFT(Tasks[[#This Row],[WBS]],FIND(".",Tasks[[#This Row],[WBS]]&amp;".")-1))</f>
        <v/>
      </c>
      <c r="GC107" s="42" t="str">
        <f aca="false">IF(AND(Tasks[[#This Row],[Task Name]]&lt;&gt;"",Tasks[[#This Row],[_Level]]=1),Tasks[[#This Row],[_Row]],"")</f>
        <v/>
      </c>
      <c r="GD107" s="42" t="str">
        <f aca="false">IF(AND(Tasks[[#This Row],[_IsLeaf]]=1,N(Tasks[[#This Row],[_Days]])=0),Tasks[[#This Row],[Planned Finish]]+Tasks[[#This Row],[_Row]]/100000,"")</f>
        <v/>
      </c>
      <c r="GE107" s="42" t="str">
        <f aca="false">IF(AND(Tasks[[#This Row],[_IsLeaf]]=1,Tasks[[#This Row],[_LeafProgress]]&lt;1,OR(N(Tasks[[#This Row],[Finish Var]])&gt;0,Tasks[[#This Row],[Status]]="Late Start")),MAX(0,Tasks[[#This Row],[Finish Var]])+1-Tasks[[#This Row],[_Row]]/1000000,"")</f>
        <v/>
      </c>
      <c r="GF107" s="42" t="str">
        <f aca="false">IF(AND(Tasks[[#This Row],[_IsLeaf]]=1,N(Tasks[[#This Row],[Actual Start]])=0,Tasks[[#This Row],[_ShownFcstStart]]&gt;=StatusDate,Tasks[[#This Row],[_ShownFcstStart]]&lt;=LookaheadEnd),Tasks[[#This Row],[_ShownFcstStart]]+Tasks[[#This Row],[_Row]]/100000,"")</f>
        <v/>
      </c>
      <c r="GG107" s="42" t="str">
        <f aca="false">IF(AND(Tasks[[#This Row],[_IsLeaf]]=1,Tasks[[#This Row],[_LeafProgress]]&lt;1,Tasks[[#This Row],[_ShownFcstFinish]]&gt;=StatusDate,Tasks[[#This Row],[_ShownFcstFinish]]&lt;=LookaheadEnd),Tasks[[#This Row],[_ShownFcstFinish]]+Tasks[[#This Row],[_Row]]/100000,"")</f>
        <v/>
      </c>
      <c r="GH107" s="42" t="str">
        <f aca="false">IF(Tasks[[#This Row],[_LeafCritical]],Tasks[[#This Row],[_ShownFcstStart]]+Tasks[[#This Row],[_Row]]/100000,"")</f>
        <v/>
      </c>
      <c r="GI107" s="42" t="n">
        <f aca="false">Tasks[[#This Row],[_LeafWork]]*Tasks[[#This Row],[_LeafProgress]]</f>
        <v>0</v>
      </c>
      <c r="GJ107" s="89" t="str">
        <f aca="false">IF(AND(Tasks[[#This Row],[_IsLeaf]]=1,Tasks[[#This Row],[_LeafProgress]]&gt;=1),IF(N(Tasks[[#This Row],[Actual Finish]])&gt;0,Tasks[[#This Row],[Actual Finish]],Tasks[[#This Row],[_ShownFcstFinish]]),"")</f>
        <v/>
      </c>
      <c r="GK107" s="42" t="n">
        <f aca="false">IF(Tasks[[#This Row],[_IsLeaf]]=1,N(Tasks[[#This Row],[Story Points]]),0)</f>
        <v>0</v>
      </c>
      <c r="GL107" s="42" t="str">
        <f aca="false">""</f>
        <v/>
      </c>
      <c r="GM107" s="88" t="b">
        <f aca="false">IF(Tasks[[#This Row],[Task Name]]="",FALSE(),AND(Tasks[[#This Row],[_IsLeaf]]=1,N(Tasks[[#This Row],[_Days]])=0))</f>
        <v>0</v>
      </c>
      <c r="GN107" s="89" t="n">
        <f aca="false">IF(Tasks[[#This Row],[Task Name]]="",0,IF(AND(Tasks[[#This Row],[_IsLeaf]]=1,NOT(Tasks[[#This Row],[_IsMilestone]]),N(Tasks[[#This Row],[Progress]])&gt;0),Tasks[[#This Row],[Start]],0))</f>
        <v>0</v>
      </c>
      <c r="GO107" s="89" t="n">
        <f aca="false">IF(Tasks[[#This Row],[_DoneFrom]]=0,0,IF(Tasks[[#This Row],[Progress]]&gt;=1,Tasks[[#This Row],[Finish]],MAX(Tasks[[#This Row],[_DoneFrom]],Tasks[[#This Row],[Start]]+ROUND((Tasks[[#This Row],[Finish]]-Tasks[[#This Row],[Start]]+1)*Tasks[[#This Row],[Progress]],0)-1)))</f>
        <v>0</v>
      </c>
      <c r="GP107" s="89" t="n">
        <f aca="false">IF(Tasks[[#This Row],[Task Name]]="",0,IF(OR(NOT(Tasks[[#This Row],[_IsLeaf]]=1),Tasks[[#This Row],[_IsMilestone]],N(Tasks[[#This Row],[Progress]])&gt;=1),0,IF(Tasks[[#This Row],[_DoneTo]]&gt;0,Tasks[[#This Row],[_DoneTo]]+1,Tasks[[#This Row],[Start]])))</f>
        <v>0</v>
      </c>
      <c r="GQ107" s="89" t="n">
        <f aca="false">IF(Tasks[[#This Row],[_RemFrom]]=0,0,Tasks[[#This Row],[Finish]])</f>
        <v>0</v>
      </c>
      <c r="GR107" s="88" t="b">
        <f aca="false">IF(Tasks[[#This Row],[Task Name]]="",FALSE(),OR(NOT(BaselineSet),N(Tasks[[#This Row],[Baseline Start]])&gt;0))</f>
        <v>0</v>
      </c>
      <c r="GS10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7" s="90" t="str">
        <f aca="false">IF(Tasks[[#This Row],[_IsLeaf]]=1,Tasks[[#This Row],[_Row]],"")</f>
        <v/>
      </c>
      <c r="GW107" s="90" t="str">
        <f aca="false">IFERROR(INDEX(Tasks[UID],SMALL(Tasks[_PickKey],Tasks[[#This Row],[_Row]]))&amp;" "&amp;INDEX(Tasks[Task Name],SMALL(Tasks[_PickKey],Tasks[[#This Row],[_Row]])),"")</f>
        <v/>
      </c>
      <c r="GX107" s="42" t="str">
        <f aca="false">IF(Tasks[[#This Row],[Task Name]]="","",IF(Tasks[[#This Row],[_IsSummary]],NETWORKDAYS.INTL(Tasks[[#This Row],[Start]],Tasks[[#This Row],[Finish]],WorkWeek,Holidays),N(Tasks[[#This Row],[_Days]])))</f>
        <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3"/>
      <c r="U108" s="23"/>
      <c r="V108" s="83"/>
      <c r="W108" s="23"/>
      <c r="X108" s="83"/>
      <c r="Y108" s="23"/>
      <c r="Z108" s="83"/>
      <c r="AA108" s="23"/>
      <c r="AB108" s="23"/>
      <c r="AC108" s="7"/>
      <c r="AD108" s="7"/>
      <c r="AE108" s="62" t="str">
        <f aca="false">IF(Tasks[[#This Row],[Task Name]]="","",IF(Tasks[[#This Row],[_IsSummary]],MIN(INDEX(Tasks[_ShownFcstStart],Tasks[[#This Row],[_Row]]+1):INDEX(Tasks[_ShownFcstStart],Tasks[[#This Row],[_Row]]+Tasks[[#This Row],[_Descendants]])),Tasks[[#This Row],[_ShownFcstStart]]))</f>
        <v/>
      </c>
      <c r="AF108" s="62"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8" s="7"/>
      <c r="AK108" s="22"/>
      <c r="AL108" s="23"/>
      <c r="AM108" s="7"/>
      <c r="AN108" s="46"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2" t="str">
        <f aca="false">IF(Tasks[[#This Row],[Task Name]]="","",IF(N(Tasks[[#This Row],[Baseline Start]])&gt;0,Tasks[[#This Row],[Baseline Start]],Tasks[[#This Row],[_CalcStart]]))</f>
        <v/>
      </c>
      <c r="AR108" s="62" t="str">
        <f aca="false">IF(Tasks[[#This Row],[Task Name]]="","",IF(N(Tasks[[#This Row],[Baseline Finish]])&gt;0,Tasks[[#This Row],[Baseline Finish]],Tasks[[#This Row],[_CalcFinish]]))</f>
        <v/>
      </c>
      <c r="AS108" s="46" t="str">
        <f aca="false">IF(Tasks[[#This Row],[Task Name]]="","",IF(Tasks[[#This Row],[Start]]&gt;=Tasks[[#This Row],[Planned Start]],NETWORKDAYS.INTL(Tasks[[#This Row],[Planned Start]],Tasks[[#This Row],[Start]],WorkWeek,Holidays)-1,1-NETWORKDAYS.INTL(Tasks[[#This Row],[Start]],Tasks[[#This Row],[Planned Start]],WorkWeek,Holidays)))</f>
        <v/>
      </c>
      <c r="AT108" s="62" t="str">
        <f aca="false">IF(Tasks[[#This Row],[Task Name]]="","",IF(Tasks[[#This Row],[_IsSummary]],MIN(INDEX(Tasks[_LeafLateStart],Tasks[[#This Row],[_Row]]+1):INDEX(Tasks[_LeafLateStart],Tasks[[#This Row],[_Row]]+Tasks[[#This Row],[_Descendants]])),Tasks[[#This Row],[_LeafLateStart]]))</f>
        <v/>
      </c>
      <c r="AU108" s="62" t="str">
        <f aca="false">IF(Tasks[[#This Row],[Task Name]]="","",IF(Tasks[[#This Row],[_IsSummary]],MAX(INDEX(Tasks[_LeafLateFinish],Tasks[[#This Row],[_Row]]+1):INDEX(Tasks[_LeafLateFinish],Tasks[[#This Row],[_Row]]+Tasks[[#This Row],[_Descendants]])),Tasks[[#This Row],[_LeafLateFinish]]))</f>
        <v/>
      </c>
      <c r="AV108" s="46"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4"/>
      <c r="BA10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5"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6"/>
      <c r="BJ108" s="22"/>
      <c r="BK108" s="46" t="str">
        <f aca="false">IF(OR(Tasks[[#This Row],[Task Name]]="",Tasks[[#This Row],[Baseline Duration]]=""),"",Tasks[[#This Row],[_SpanDays]]-N(Tasks[[#This Row],[Baseline Duration]]))</f>
        <v/>
      </c>
      <c r="BL108" s="85" t="str">
        <f aca="false">IF(OR(Tasks[[#This Row],[Task Name]]="",Tasks[[#This Row],[Baseline Work]]=""),"",Tasks[[#This Row],[Work]]-N(Tasks[[#This Row],[Baseline Work]]))</f>
        <v/>
      </c>
      <c r="BM108" s="62" t="str">
        <f aca="false">IF(Tasks[[#This Row],[Task Name]]="","",IF(OR(TakeBaseline="Yes",N(Tasks[[#This Row],[Baseline Start]])=0),Tasks[[#This Row],[Start]],Tasks[[#This Row],[Baseline Start]]))</f>
        <v/>
      </c>
      <c r="BN108" s="62"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5" t="str">
        <f aca="false">IF(Tasks[[#This Row],[Task Name]]="","",IF(OR(TakeBaseline="Yes",N(Tasks[[#This Row],[Baseline Work]])=0),Tasks[[#This Row],[Work]],Tasks[[#This Row],[Baseline Work]]))</f>
        <v/>
      </c>
      <c r="BQ108" s="7"/>
      <c r="BR108" s="7"/>
      <c r="BS108" s="22"/>
      <c r="BT108" s="87"/>
      <c r="BU108" s="42" t="str">
        <f aca="false">IF(Tasks[[#This Row],[Task Name]]="","",MAX(1,N(Tasks[[#This Row],[Level]])))</f>
        <v/>
      </c>
      <c r="BV108" s="42" t="n">
        <f aca="false">ROW()-ROW(Tasks[[#Headers],[ID]])</f>
        <v>103</v>
      </c>
      <c r="BW108" s="42" t="n">
        <f aca="false">IF(OR(Tasks[[#This Row],[Task Name]]="",Tasks[[#This Row],[_Level]]&lt;=1),0,IFERROR(LOOKUP(2,1/(Tasks[[#Headers],[_Level]]:Tasks[[#This Row],[_Level]]=Tasks[[#This Row],[_Level]]-1),ROW(Tasks[[#Headers],[_Level]]:Tasks[[#This Row],[_Level]])),0))</f>
        <v>0</v>
      </c>
      <c r="BX108" s="42" t="n">
        <f aca="false">IFERROR(N(INDEX(Tasks[_Level],Tasks[[#This Row],[_Row]]+1)),0)</f>
        <v>0</v>
      </c>
      <c r="BY108" s="88" t="b">
        <f aca="false">AND(Tasks[[#This Row],[Task Name]]&lt;&gt;"",Tasks[[#This Row],[_NextLevel]]&gt;Tasks[[#This Row],[_Level]])</f>
        <v>0</v>
      </c>
      <c r="BZ108" s="42" t="n">
        <f aca="false">IF(Tasks[[#This Row],[_IsSummary]],COUNTIF(Tasks[WBS],Tasks[[#This Row],[WBS]]&amp;".*"),0)</f>
        <v>0</v>
      </c>
      <c r="CA108" s="42" t="n">
        <f aca="false">IF(AND(Tasks[[#This Row],[Task Name]]&lt;&gt;"",NOT(Tasks[[#This Row],[_IsSummary]])),1,0)</f>
        <v>0</v>
      </c>
      <c r="CB108" s="42" t="n">
        <f aca="false">IF(N(Tasks[[#This Row],[_Pred1UID]])=0,0,IFERROR(MATCH(Tasks[[#This Row],[_Pred1UID]],Tasks[UID],0),-1))</f>
        <v>0</v>
      </c>
      <c r="CC108" s="42" t="n">
        <f aca="false">IF(N(Tasks[[#This Row],[_Pred2UID]])=0,0,IFERROR(MATCH(Tasks[[#This Row],[_Pred2UID]],Tasks[UID],0),-1))</f>
        <v>0</v>
      </c>
      <c r="CD108" s="42" t="n">
        <f aca="false">IF(N(Tasks[[#This Row],[_Pred3UID]])=0,0,IFERROR(MATCH(Tasks[[#This Row],[_Pred3UID]],Tasks[UID],0),-1))</f>
        <v>0</v>
      </c>
      <c r="CE108" s="42" t="n">
        <f aca="false">IF(N(Tasks[[#This Row],[_Pred4UID]])=0,0,IFERROR(MATCH(Tasks[[#This Row],[_Pred4UID]],Tasks[UID],0),-1))</f>
        <v>0</v>
      </c>
      <c r="CF10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8" s="89" t="n">
        <f aca="false">IF(OR(Tasks[[#This Row],[_ConstraintCode]]=2,Tasks[[#This Row],[_ConstraintCode]]=3,Tasks[[#This Row],[_ConstraintCode]]=4,Tasks[[#This Row],[_ConstraintCode]]=6),Tasks[[#This Row],[_ConstraintStart]],0)</f>
        <v>0</v>
      </c>
      <c r="CI108" s="89" t="n">
        <f aca="false">IF(OR(Tasks[[#This Row],[_ConstraintCode]]=2,Tasks[[#This Row],[_ConstraintCode]]=3,Tasks[[#This Row],[_ConstraintCode]]=5,Tasks[[#This Row],[_ConstraintCode]]=7),Tasks[[#This Row],[_ConstraintStart]],2958465)</f>
        <v>2958465</v>
      </c>
      <c r="CJ10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8" s="89" t="str">
        <f aca="false">IF(NOT(Tasks[[#This Row],[_IsLeaf]]=1),"",IF(N(Tasks[[#This Row],[_Days]])&lt;=0,Tasks[[#This Row],[_LeafCalcStart]],WORKDAY.INTL(Tasks[[#This Row],[_LeafCalcStart]],Tasks[[#This Row],[_Days]]-1,WorkWeek,Holidays)))</f>
        <v/>
      </c>
      <c r="CL10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8" s="42" t="str">
        <f aca="false">IF(Tasks[[#This Row],[_Predecessors]]="","",TRIM(MID(SUBSTITUTE(SUBSTITUTE(SUBSTITUTE(UPPER(Tasks[[#This Row],[_Predecessors]]),";",",")," ",""),",",REPT(" ",99)),1,99)))</f>
        <v/>
      </c>
      <c r="CO108" s="42" t="str">
        <f aca="false">IF(Tasks[[#This Row],[_Pred1Text]]="","",IFERROR(VALUE(LEFT(Tasks[[#This Row],[_Pred1Text]],MIN(FIND("F",Tasks[[#This Row],[_Pred1Text]]&amp;"F"),FIND("S",Tasks[[#This Row],[_Pred1Text]]&amp;"S"),FIND("+",Tasks[[#This Row],[_Pred1Text]]&amp;"+"),FIND("-",Tasks[[#This Row],[_Pred1Text]]&amp;"-"))-1)),""))</f>
        <v/>
      </c>
      <c r="CP10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8" s="42" t="str">
        <f aca="false">IF(Tasks[[#This Row],[_Pred1Text]]="","",TRIM(MID(SUBSTITUTE(SUBSTITUTE(SUBSTITUTE(UPPER(Tasks[[#This Row],[_Predecessors]]),";",",")," ",""),",",REPT(" ",99)),100,99)))</f>
        <v/>
      </c>
      <c r="CS108" s="42" t="str">
        <f aca="false">IF(Tasks[[#This Row],[_Pred2Text]]="","",IFERROR(VALUE(LEFT(Tasks[[#This Row],[_Pred2Text]],MIN(FIND("F",Tasks[[#This Row],[_Pred2Text]]&amp;"F"),FIND("S",Tasks[[#This Row],[_Pred2Text]]&amp;"S"),FIND("+",Tasks[[#This Row],[_Pred2Text]]&amp;"+"),FIND("-",Tasks[[#This Row],[_Pred2Text]]&amp;"-"))-1)),""))</f>
        <v/>
      </c>
      <c r="CT10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8" s="42" t="str">
        <f aca="false">IF(Tasks[[#This Row],[_Pred2Text]]="","",TRIM(MID(SUBSTITUTE(SUBSTITUTE(SUBSTITUTE(UPPER(Tasks[[#This Row],[_Predecessors]]),";",",")," ",""),",",REPT(" ",99)),199,99)))</f>
        <v/>
      </c>
      <c r="CW108" s="42" t="str">
        <f aca="false">IF(Tasks[[#This Row],[_Pred3Text]]="","",IFERROR(VALUE(LEFT(Tasks[[#This Row],[_Pred3Text]],MIN(FIND("F",Tasks[[#This Row],[_Pred3Text]]&amp;"F"),FIND("S",Tasks[[#This Row],[_Pred3Text]]&amp;"S"),FIND("+",Tasks[[#This Row],[_Pred3Text]]&amp;"+"),FIND("-",Tasks[[#This Row],[_Pred3Text]]&amp;"-"))-1)),""))</f>
        <v/>
      </c>
      <c r="CX10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8" s="42" t="str">
        <f aca="false">IF(Tasks[[#This Row],[_Pred3Text]]="","",TRIM(MID(SUBSTITUTE(SUBSTITUTE(SUBSTITUTE(UPPER(Tasks[[#This Row],[_Predecessors]]),";",",")," ",""),",",REPT(" ",99)),298,99)))</f>
        <v/>
      </c>
      <c r="DA108" s="42" t="str">
        <f aca="false">IF(Tasks[[#This Row],[_Pred4Text]]="","",IFERROR(VALUE(LEFT(Tasks[[#This Row],[_Pred4Text]],MIN(FIND("F",Tasks[[#This Row],[_Pred4Text]]&amp;"F"),FIND("S",Tasks[[#This Row],[_Pred4Text]]&amp;"S"),FIND("+",Tasks[[#This Row],[_Pred4Text]]&amp;"+"),FIND("-",Tasks[[#This Row],[_Pred4Text]]&amp;"-"))-1)),""))</f>
        <v/>
      </c>
      <c r="DB10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8" s="42" t="str">
        <f aca="false">IF(OR(Tasks[[#This Row],[Task Name]]="",Tasks[[#This Row],[_Resources]]=""),"",TRIM(MID(SUBSTITUTE(Tasks[[#This Row],[_Resources]],",",REPT(" ",99)),1,99)))</f>
        <v/>
      </c>
      <c r="DE108" s="42" t="str">
        <f aca="false">IF(Tasks[[#This Row],[_Res1Text]]="","",TRIM(MID(SUBSTITUTE(Tasks[[#This Row],[_Resources]],",",REPT(" ",99)),100,99)))</f>
        <v/>
      </c>
      <c r="DF108" s="42" t="str">
        <f aca="false">IF(Tasks[[#This Row],[_Res2Text]]="","",TRIM(MID(SUBSTITUTE(Tasks[[#This Row],[_Resources]],",",REPT(" ",99)),199,99)))</f>
        <v/>
      </c>
      <c r="DG108" s="42" t="str">
        <f aca="false">IF(Tasks[[#This Row],[_Res3Text]]="","",TRIM(MID(SUBSTITUTE(Tasks[[#This Row],[_Resources]],",",REPT(" ",99)),298,99)))</f>
        <v/>
      </c>
      <c r="DH108" s="42" t="n">
        <f aca="false">IF(Tasks[[#This Row],[_Res1Text]]="",0,IFERROR(MATCH(TRIM(LEFT(Tasks[[#This Row],[_Res1Text]],FIND("[",Tasks[[#This Row],[_Res1Text]]&amp;"[")-1)),res_Name,0),IFERROR(MATCH(TRIM(LEFT(Tasks[[#This Row],[_Res1Text]],FIND("[",Tasks[[#This Row],[_Res1Text]]&amp;"[")-1)),res_Initials,0),0)))</f>
        <v>0</v>
      </c>
      <c r="DI108" s="42" t="n">
        <f aca="false">IF(Tasks[[#This Row],[_Res2Text]]="",0,IFERROR(MATCH(TRIM(LEFT(Tasks[[#This Row],[_Res2Text]],FIND("[",Tasks[[#This Row],[_Res2Text]]&amp;"[")-1)),res_Name,0),IFERROR(MATCH(TRIM(LEFT(Tasks[[#This Row],[_Res2Text]],FIND("[",Tasks[[#This Row],[_Res2Text]]&amp;"[")-1)),res_Initials,0),0)))</f>
        <v>0</v>
      </c>
      <c r="DJ108" s="42" t="n">
        <f aca="false">IF(Tasks[[#This Row],[_Res3Text]]="",0,IFERROR(MATCH(TRIM(LEFT(Tasks[[#This Row],[_Res3Text]],FIND("[",Tasks[[#This Row],[_Res3Text]]&amp;"[")-1)),res_Name,0),IFERROR(MATCH(TRIM(LEFT(Tasks[[#This Row],[_Res3Text]],FIND("[",Tasks[[#This Row],[_Res3Text]]&amp;"[")-1)),res_Initials,0),0)))</f>
        <v>0</v>
      </c>
      <c r="DK108" s="42" t="n">
        <f aca="false">IF(Tasks[[#This Row],[_Res4Text]]="",0,IFERROR(MATCH(TRIM(LEFT(Tasks[[#This Row],[_Res4Text]],FIND("[",Tasks[[#This Row],[_Res4Text]]&amp;"[")-1)),res_Name,0),IFERROR(MATCH(TRIM(LEFT(Tasks[[#This Row],[_Res4Text]],FIND("[",Tasks[[#This Row],[_Res4Text]]&amp;"[")-1)),res_Initials,0),0)))</f>
        <v>0</v>
      </c>
      <c r="DL108" s="42" t="str">
        <f aca="false">IF(Tasks[[#This Row],[_Res1Text]]="","",IF(Tasks[[#This Row],[_Res1Row]]&gt;0,INDEX(res_Name,Tasks[[#This Row],[_Res1Row]]),TRIM(LEFT(Tasks[[#This Row],[_Res1Text]],FIND("[",Tasks[[#This Row],[_Res1Text]]&amp;"[")-1))))</f>
        <v/>
      </c>
      <c r="DM10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8" s="42" t="n">
        <f aca="false">IF(NOT(Tasks[[#This Row],[_IsLeaf]]=1),0,(Tasks[[#This Row],[_Resource1]]&lt;&gt;"")+(Tasks[[#This Row],[_Res2]]&lt;&gt;"")+(Tasks[[#This Row],[_Res3]]&lt;&gt;"")+(Tasks[[#This Row],[_Res4]]&lt;&gt;""))</f>
        <v>0</v>
      </c>
      <c r="DO108" s="42" t="str">
        <f aca="false">IF(Tasks[[#This Row],[_Res2Text]]="","",IF(Tasks[[#This Row],[_Res2Row]]&gt;0,INDEX(res_Name,Tasks[[#This Row],[_Res2Row]]),TRIM(LEFT(Tasks[[#This Row],[_Res2Text]],FIND("[",Tasks[[#This Row],[_Res2Text]]&amp;"[")-1))))</f>
        <v/>
      </c>
      <c r="DP10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8" s="42" t="n">
        <f aca="false">IF(OR(NOT(Tasks[[#This Row],[_IsLeaf]]=1),Tasks[[#This Row],[_Res2Row]]=0),0,N(Tasks[[#This Row],[_Days]])*HoursPerDay*IF(Tasks[[#This Row],[_Res2Units]]="",DefaultUnits,Tasks[[#This Row],[_Res2Units]]))</f>
        <v>0</v>
      </c>
      <c r="DR108" s="42" t="n">
        <f aca="false">IF(AND(AND(Tasks[[#This Row],[_IsLeaf]]=1,Tasks[[#This Row],[_LeafTotalWork]]&gt;0),Tasks[[#This Row],[_Res2Work]]&gt;0),Tasks[[#This Row],[_Res2Work]]/(Tasks[[#This Row],[_FinishWorkday]]-Tasks[[#This Row],[_StartWorkday]]+1),0)</f>
        <v>0</v>
      </c>
      <c r="DS108" s="42" t="n">
        <f aca="false">Tasks[[#This Row],[_Res2WorkPerWD]]*MAX(0,Tasks[[#This Row],[_StartWorkday]]-1)</f>
        <v>0</v>
      </c>
      <c r="DT108" s="42" t="n">
        <f aca="false">Tasks[[#This Row],[_Res2Work]]*Tasks[[#This Row],[_LeafProgress]]</f>
        <v>0</v>
      </c>
      <c r="DU108" s="42" t="str">
        <f aca="false">IF(Tasks[[#This Row],[_Res3Text]]="","",IF(Tasks[[#This Row],[_Res3Row]]&gt;0,INDEX(res_Name,Tasks[[#This Row],[_Res3Row]]),TRIM(LEFT(Tasks[[#This Row],[_Res3Text]],FIND("[",Tasks[[#This Row],[_Res3Text]]&amp;"[")-1))))</f>
        <v/>
      </c>
      <c r="DV10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8" s="42" t="n">
        <f aca="false">IF(OR(NOT(Tasks[[#This Row],[_IsLeaf]]=1),Tasks[[#This Row],[_Res3Row]]=0),0,N(Tasks[[#This Row],[_Days]])*HoursPerDay*IF(Tasks[[#This Row],[_Res3Units]]="",DefaultUnits,Tasks[[#This Row],[_Res3Units]]))</f>
        <v>0</v>
      </c>
      <c r="DX108" s="42" t="n">
        <f aca="false">IF(AND(AND(Tasks[[#This Row],[_IsLeaf]]=1,Tasks[[#This Row],[_LeafTotalWork]]&gt;0),Tasks[[#This Row],[_Res3Work]]&gt;0),Tasks[[#This Row],[_Res3Work]]/(Tasks[[#This Row],[_FinishWorkday]]-Tasks[[#This Row],[_StartWorkday]]+1),0)</f>
        <v>0</v>
      </c>
      <c r="DY108" s="42" t="n">
        <f aca="false">Tasks[[#This Row],[_Res3WorkPerWD]]*MAX(0,Tasks[[#This Row],[_StartWorkday]]-1)</f>
        <v>0</v>
      </c>
      <c r="DZ108" s="42" t="n">
        <f aca="false">Tasks[[#This Row],[_Res3Work]]*Tasks[[#This Row],[_LeafProgress]]</f>
        <v>0</v>
      </c>
      <c r="EA108" s="42" t="str">
        <f aca="false">IF(Tasks[[#This Row],[_Res4Text]]="","",IF(Tasks[[#This Row],[_Res4Row]]&gt;0,INDEX(res_Name,Tasks[[#This Row],[_Res4Row]]),TRIM(LEFT(Tasks[[#This Row],[_Res4Text]],FIND("[",Tasks[[#This Row],[_Res4Text]]&amp;"[")-1))))</f>
        <v/>
      </c>
      <c r="EB10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8" s="42" t="n">
        <f aca="false">IF(OR(NOT(Tasks[[#This Row],[_IsLeaf]]=1),Tasks[[#This Row],[_Res4Row]]=0),0,N(Tasks[[#This Row],[_Days]])*HoursPerDay*IF(Tasks[[#This Row],[_Res4Units]]="",DefaultUnits,Tasks[[#This Row],[_Res4Units]]))</f>
        <v>0</v>
      </c>
      <c r="ED108" s="42" t="n">
        <f aca="false">IF(AND(AND(Tasks[[#This Row],[_IsLeaf]]=1,Tasks[[#This Row],[_LeafTotalWork]]&gt;0),Tasks[[#This Row],[_Res4Work]]&gt;0),Tasks[[#This Row],[_Res4Work]]/(Tasks[[#This Row],[_FinishWorkday]]-Tasks[[#This Row],[_StartWorkday]]+1),0)</f>
        <v>0</v>
      </c>
      <c r="EE108" s="42" t="n">
        <f aca="false">Tasks[[#This Row],[_Res4WorkPerWD]]*MAX(0,Tasks[[#This Row],[_StartWorkday]]-1)</f>
        <v>0</v>
      </c>
      <c r="EF108" s="42" t="n">
        <f aca="false">Tasks[[#This Row],[_Res4Work]]*Tasks[[#This Row],[_LeafProgress]]</f>
        <v>0</v>
      </c>
      <c r="EG108" s="42" t="n">
        <f aca="false">IF(ISNUMBER(Tasks[[#This Row],[% Complete]]),Tasks[[#This Row],[% Complete]],IF(Tasks[[#This Row],[Stage]]="",0,IFERROR(INDEX(stg_Pct,MATCH(Tasks[[#This Row],[Stage]],stg_Name,0)),0)))</f>
        <v>0</v>
      </c>
      <c r="EH108" s="42" t="n">
        <f aca="false">IF(NOT(Tasks[[#This Row],[_IsLeaf]]=1),0,IF(N(Tasks[[#This Row],[Actual Finish]])&gt;0,1,MIN(1,Tasks[[#This Row],[_Pct]])))</f>
        <v>0</v>
      </c>
      <c r="EI108" s="42" t="n">
        <f aca="false">IF(OR(NOT(Tasks[[#This Row],[_IsLeaf]]=1),Tasks[[#This Row],[_Res1Row]]=0),0,N(Tasks[[#This Row],[_Days]])*HoursPerDay*IF(Tasks[[#This Row],[_Units1]]="",DefaultUnits,Tasks[[#This Row],[_Units1]]))</f>
        <v>0</v>
      </c>
      <c r="EJ108" s="42" t="n">
        <f aca="false">Tasks[[#This Row],[_LeafWork]]+Tasks[[#This Row],[_Res2Work]]+Tasks[[#This Row],[_Res3Work]]+Tasks[[#This Row],[_Res4Work]]</f>
        <v>0</v>
      </c>
      <c r="EK10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8" s="42" t="n">
        <f aca="false">IF(NOT(Tasks[[#This Row],[_IsLeaf]]=1),0,MAX(_xlfn.MAXIFS(Tasks[_Row],Tasks[_Pred1UID],Tasks[[#This Row],[UID]]),_xlfn.MAXIFS(Tasks[_Row],Tasks[_Pred2UID],Tasks[[#This Row],[UID]]),_xlfn.MAXIFS(Tasks[_Row],Tasks[_Pred3UID],Tasks[[#This Row],[UID]]),_xlfn.MAXIFS(Tasks[_Row],Tasks[_Pred4UID],Tasks[[#This Row],[UID]])))</f>
        <v>0</v>
      </c>
      <c r="ET10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8" s="89" t="str">
        <f aca="false">IF(NOT(Tasks[[#This Row],[_IsLeaf]]=1),"",IF(N(Tasks[[#This Row],[_Days]])&lt;=0,Tasks[[#This Row],[_LeafLateFinish]],WORKDAY.INTL(Tasks[[#This Row],[_LeafLateFinish]],-(Tasks[[#This Row],[_Days]]-1),WorkWeek,Holidays)))</f>
        <v/>
      </c>
      <c r="EW10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8" s="88" t="b">
        <f aca="false">AND(Tasks[[#This Row],[_IsLeaf]]=1,Tasks[[#This Row],[_LeafProgress]]&lt;1,N(Tasks[[#This Row],[_LeafTotalSlack]])&lt;=CriticalSlackDays)</f>
        <v>0</v>
      </c>
      <c r="EY108" s="42" t="n">
        <f aca="false">IF(AND(Tasks[[#This Row],[_IsLeaf]]=1,Tasks[[#This Row],[_ConstraintCode]]=1,Tasks[[#This Row],[Mode]]&lt;&gt;"Manual",N(Tasks[[#This Row],[Actual Start]])=0),MAX(0,N(Tasks[[#This Row],[Free Slack]])),0)</f>
        <v>0</v>
      </c>
      <c r="EZ108" s="89" t="str">
        <f aca="false">IF(NOT(Tasks[[#This Row],[_IsLeaf]]=1),"",IF(Tasks[[#This Row],[_AlapShift]]=0,Tasks[[#This Row],[_LeafCalcStart]],WORKDAY.INTL(Tasks[[#This Row],[_LeafCalcStart]],Tasks[[#This Row],[_AlapShift]],WorkWeek,Holidays)))</f>
        <v/>
      </c>
      <c r="FA108" s="89" t="str">
        <f aca="false">IF(NOT(Tasks[[#This Row],[_IsLeaf]]=1),"",IF(Tasks[[#This Row],[_AlapShift]]=0,Tasks[[#This Row],[_LeafCalcFinish]],WORKDAY.INTL(Tasks[[#This Row],[_LeafCalcFinish]],Tasks[[#This Row],[_AlapShift]],WorkWeek,Holidays)))</f>
        <v/>
      </c>
      <c r="FB108" s="89" t="str">
        <f aca="false">IF(NOT(Tasks[[#This Row],[_IsLeaf]]=1),"",IF(Tasks[[#This Row],[_AlapShift]]=0,Tasks[[#This Row],[_LeafFcstStart]],WORKDAY.INTL(Tasks[[#This Row],[_LeafFcstStart]],Tasks[[#This Row],[_AlapShift]],WorkWeek,Holidays)))</f>
        <v/>
      </c>
      <c r="FC108" s="89" t="str">
        <f aca="false">IF(NOT(Tasks[[#This Row],[_IsLeaf]]=1),"",IF(Tasks[[#This Row],[_AlapShift]]=0,Tasks[[#This Row],[_LeafFcstFinish]],WORKDAY.INTL(Tasks[[#This Row],[_LeafFcstFinish]],Tasks[[#This Row],[_AlapShift]],WorkWeek,Holidays)))</f>
        <v/>
      </c>
      <c r="FD108" s="89" t="str">
        <f aca="false">IF(Tasks[[#This Row],[Task Name]]="","",IF(Tasks[[#This Row],[_IsSummary]],MIN(INDEX(Tasks[_ShownCalcStart],Tasks[[#This Row],[_Row]]+1):INDEX(Tasks[_ShownCalcStart],Tasks[[#This Row],[_Row]]+Tasks[[#This Row],[_Descendants]])),Tasks[[#This Row],[_ShownCalcStart]]))</f>
        <v/>
      </c>
      <c r="FE108" s="89" t="str">
        <f aca="false">IF(Tasks[[#This Row],[Task Name]]="","",IF(Tasks[[#This Row],[_IsSummary]],MAX(INDEX(Tasks[_ShownCalcFinish],Tasks[[#This Row],[_Row]]+1):INDEX(Tasks[_ShownCalcFinish],Tasks[[#This Row],[_Row]]+Tasks[[#This Row],[_Descendants]])),Tasks[[#This Row],[_ShownCalcFinish]]))</f>
        <v/>
      </c>
      <c r="FF10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8" s="42" t="n">
        <f aca="false">IF(AND(Tasks[[#This Row],[_IsLeaf]]=1,Tasks[[#This Row],[_LeafTotalWork]]&gt;0),NETWORKDAYS.INTL(ProjectStart,Tasks[[#This Row],[_ShownFcstStart]],WorkWeek,Holidays),0)</f>
        <v>0</v>
      </c>
      <c r="FS108" s="42" t="n">
        <f aca="false">IF(AND(Tasks[[#This Row],[_IsLeaf]]=1,Tasks[[#This Row],[_LeafTotalWork]]&gt;0),MAX(Tasks[[#This Row],[_StartWorkday]],NETWORKDAYS.INTL(ProjectStart,Tasks[[#This Row],[_ShownFcstFinish]],WorkWeek,Holidays)),0)</f>
        <v>0</v>
      </c>
      <c r="FT108" s="42" t="n">
        <f aca="false">IF(AND(Tasks[[#This Row],[_IsLeaf]]=1,Tasks[[#This Row],[_LeafTotalWork]]&gt;0),Tasks[[#This Row],[_LeafWork]]/(Tasks[[#This Row],[_FinishWorkday]]-Tasks[[#This Row],[_StartWorkday]]+1),0)</f>
        <v>0</v>
      </c>
      <c r="FU108" s="42" t="n">
        <f aca="false">Tasks[[#This Row],[_WorkPerWorkday]]*(Tasks[[#This Row],[_StartWorkday]]-1)</f>
        <v>-0</v>
      </c>
      <c r="FV108" s="42" t="n">
        <f aca="false">IF(Tasks[[#This Row],[_IsLeaf]]=1,MAX(N(Tasks[[#This Row],[_Days]]),0.1),0)</f>
        <v>0</v>
      </c>
      <c r="FW108" s="42" t="n">
        <f aca="false">Tasks[[#This Row],[_WeightDur]]*Tasks[[#This Row],[_LeafProgress]]</f>
        <v>0</v>
      </c>
      <c r="FX108" s="42" t="n">
        <f aca="false">Tasks[[#This Row],[_WeightDur]]*Tasks[[#This Row],[_PlannedPct]]</f>
        <v>0</v>
      </c>
      <c r="FY10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8" s="42" t="str">
        <f aca="false">IF(AND(Tasks[[#This Row],[_IsLeaf]]=1,N(Tasks[[#This Row],[_Days]])=0,Tasks[[#This Row],[_LeafProgress]]&lt;1),Tasks[[#This Row],[_ShownFcstFinish]]+Tasks[[#This Row],[_Row]]/100000,"")</f>
        <v/>
      </c>
      <c r="GA10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8" s="42" t="str">
        <f aca="false">IF(Tasks[[#This Row],[Task Name]]="","",LEFT(Tasks[[#This Row],[WBS]],FIND(".",Tasks[[#This Row],[WBS]]&amp;".")-1))</f>
        <v/>
      </c>
      <c r="GC108" s="42" t="str">
        <f aca="false">IF(AND(Tasks[[#This Row],[Task Name]]&lt;&gt;"",Tasks[[#This Row],[_Level]]=1),Tasks[[#This Row],[_Row]],"")</f>
        <v/>
      </c>
      <c r="GD108" s="42" t="str">
        <f aca="false">IF(AND(Tasks[[#This Row],[_IsLeaf]]=1,N(Tasks[[#This Row],[_Days]])=0),Tasks[[#This Row],[Planned Finish]]+Tasks[[#This Row],[_Row]]/100000,"")</f>
        <v/>
      </c>
      <c r="GE108" s="42" t="str">
        <f aca="false">IF(AND(Tasks[[#This Row],[_IsLeaf]]=1,Tasks[[#This Row],[_LeafProgress]]&lt;1,OR(N(Tasks[[#This Row],[Finish Var]])&gt;0,Tasks[[#This Row],[Status]]="Late Start")),MAX(0,Tasks[[#This Row],[Finish Var]])+1-Tasks[[#This Row],[_Row]]/1000000,"")</f>
        <v/>
      </c>
      <c r="GF108" s="42" t="str">
        <f aca="false">IF(AND(Tasks[[#This Row],[_IsLeaf]]=1,N(Tasks[[#This Row],[Actual Start]])=0,Tasks[[#This Row],[_ShownFcstStart]]&gt;=StatusDate,Tasks[[#This Row],[_ShownFcstStart]]&lt;=LookaheadEnd),Tasks[[#This Row],[_ShownFcstStart]]+Tasks[[#This Row],[_Row]]/100000,"")</f>
        <v/>
      </c>
      <c r="GG108" s="42" t="str">
        <f aca="false">IF(AND(Tasks[[#This Row],[_IsLeaf]]=1,Tasks[[#This Row],[_LeafProgress]]&lt;1,Tasks[[#This Row],[_ShownFcstFinish]]&gt;=StatusDate,Tasks[[#This Row],[_ShownFcstFinish]]&lt;=LookaheadEnd),Tasks[[#This Row],[_ShownFcstFinish]]+Tasks[[#This Row],[_Row]]/100000,"")</f>
        <v/>
      </c>
      <c r="GH108" s="42" t="str">
        <f aca="false">IF(Tasks[[#This Row],[_LeafCritical]],Tasks[[#This Row],[_ShownFcstStart]]+Tasks[[#This Row],[_Row]]/100000,"")</f>
        <v/>
      </c>
      <c r="GI108" s="42" t="n">
        <f aca="false">Tasks[[#This Row],[_LeafWork]]*Tasks[[#This Row],[_LeafProgress]]</f>
        <v>0</v>
      </c>
      <c r="GJ108" s="89" t="str">
        <f aca="false">IF(AND(Tasks[[#This Row],[_IsLeaf]]=1,Tasks[[#This Row],[_LeafProgress]]&gt;=1),IF(N(Tasks[[#This Row],[Actual Finish]])&gt;0,Tasks[[#This Row],[Actual Finish]],Tasks[[#This Row],[_ShownFcstFinish]]),"")</f>
        <v/>
      </c>
      <c r="GK108" s="42" t="n">
        <f aca="false">IF(Tasks[[#This Row],[_IsLeaf]]=1,N(Tasks[[#This Row],[Story Points]]),0)</f>
        <v>0</v>
      </c>
      <c r="GL108" s="42" t="str">
        <f aca="false">""</f>
        <v/>
      </c>
      <c r="GM108" s="88" t="b">
        <f aca="false">IF(Tasks[[#This Row],[Task Name]]="",FALSE(),AND(Tasks[[#This Row],[_IsLeaf]]=1,N(Tasks[[#This Row],[_Days]])=0))</f>
        <v>0</v>
      </c>
      <c r="GN108" s="89" t="n">
        <f aca="false">IF(Tasks[[#This Row],[Task Name]]="",0,IF(AND(Tasks[[#This Row],[_IsLeaf]]=1,NOT(Tasks[[#This Row],[_IsMilestone]]),N(Tasks[[#This Row],[Progress]])&gt;0),Tasks[[#This Row],[Start]],0))</f>
        <v>0</v>
      </c>
      <c r="GO108" s="89" t="n">
        <f aca="false">IF(Tasks[[#This Row],[_DoneFrom]]=0,0,IF(Tasks[[#This Row],[Progress]]&gt;=1,Tasks[[#This Row],[Finish]],MAX(Tasks[[#This Row],[_DoneFrom]],Tasks[[#This Row],[Start]]+ROUND((Tasks[[#This Row],[Finish]]-Tasks[[#This Row],[Start]]+1)*Tasks[[#This Row],[Progress]],0)-1)))</f>
        <v>0</v>
      </c>
      <c r="GP108" s="89" t="n">
        <f aca="false">IF(Tasks[[#This Row],[Task Name]]="",0,IF(OR(NOT(Tasks[[#This Row],[_IsLeaf]]=1),Tasks[[#This Row],[_IsMilestone]],N(Tasks[[#This Row],[Progress]])&gt;=1),0,IF(Tasks[[#This Row],[_DoneTo]]&gt;0,Tasks[[#This Row],[_DoneTo]]+1,Tasks[[#This Row],[Start]])))</f>
        <v>0</v>
      </c>
      <c r="GQ108" s="89" t="n">
        <f aca="false">IF(Tasks[[#This Row],[_RemFrom]]=0,0,Tasks[[#This Row],[Finish]])</f>
        <v>0</v>
      </c>
      <c r="GR108" s="88" t="b">
        <f aca="false">IF(Tasks[[#This Row],[Task Name]]="",FALSE(),OR(NOT(BaselineSet),N(Tasks[[#This Row],[Baseline Start]])&gt;0))</f>
        <v>0</v>
      </c>
      <c r="GS10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8" s="90" t="str">
        <f aca="false">IF(Tasks[[#This Row],[_IsLeaf]]=1,Tasks[[#This Row],[_Row]],"")</f>
        <v/>
      </c>
      <c r="GW108" s="90" t="str">
        <f aca="false">IFERROR(INDEX(Tasks[UID],SMALL(Tasks[_PickKey],Tasks[[#This Row],[_Row]]))&amp;" "&amp;INDEX(Tasks[Task Name],SMALL(Tasks[_PickKey],Tasks[[#This Row],[_Row]])),"")</f>
        <v/>
      </c>
      <c r="GX108" s="42" t="str">
        <f aca="false">IF(Tasks[[#This Row],[Task Name]]="","",IF(Tasks[[#This Row],[_IsSummary]],NETWORKDAYS.INTL(Tasks[[#This Row],[Start]],Tasks[[#This Row],[Finish]],WorkWeek,Holidays),N(Tasks[[#This Row],[_Days]])))</f>
        <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3"/>
      <c r="U109" s="23"/>
      <c r="V109" s="83"/>
      <c r="W109" s="23"/>
      <c r="X109" s="83"/>
      <c r="Y109" s="23"/>
      <c r="Z109" s="83"/>
      <c r="AA109" s="23"/>
      <c r="AB109" s="23"/>
      <c r="AC109" s="7"/>
      <c r="AD109" s="7"/>
      <c r="AE109" s="62" t="str">
        <f aca="false">IF(Tasks[[#This Row],[Task Name]]="","",IF(Tasks[[#This Row],[_IsSummary]],MIN(INDEX(Tasks[_ShownFcstStart],Tasks[[#This Row],[_Row]]+1):INDEX(Tasks[_ShownFcstStart],Tasks[[#This Row],[_Row]]+Tasks[[#This Row],[_Descendants]])),Tasks[[#This Row],[_ShownFcstStart]]))</f>
        <v/>
      </c>
      <c r="AF109" s="62"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9" s="7"/>
      <c r="AK109" s="22"/>
      <c r="AL109" s="23"/>
      <c r="AM109" s="7"/>
      <c r="AN109" s="46"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2" t="str">
        <f aca="false">IF(Tasks[[#This Row],[Task Name]]="","",IF(N(Tasks[[#This Row],[Baseline Start]])&gt;0,Tasks[[#This Row],[Baseline Start]],Tasks[[#This Row],[_CalcStart]]))</f>
        <v/>
      </c>
      <c r="AR109" s="62" t="str">
        <f aca="false">IF(Tasks[[#This Row],[Task Name]]="","",IF(N(Tasks[[#This Row],[Baseline Finish]])&gt;0,Tasks[[#This Row],[Baseline Finish]],Tasks[[#This Row],[_CalcFinish]]))</f>
        <v/>
      </c>
      <c r="AS109" s="46" t="str">
        <f aca="false">IF(Tasks[[#This Row],[Task Name]]="","",IF(Tasks[[#This Row],[Start]]&gt;=Tasks[[#This Row],[Planned Start]],NETWORKDAYS.INTL(Tasks[[#This Row],[Planned Start]],Tasks[[#This Row],[Start]],WorkWeek,Holidays)-1,1-NETWORKDAYS.INTL(Tasks[[#This Row],[Start]],Tasks[[#This Row],[Planned Start]],WorkWeek,Holidays)))</f>
        <v/>
      </c>
      <c r="AT109" s="62" t="str">
        <f aca="false">IF(Tasks[[#This Row],[Task Name]]="","",IF(Tasks[[#This Row],[_IsSummary]],MIN(INDEX(Tasks[_LeafLateStart],Tasks[[#This Row],[_Row]]+1):INDEX(Tasks[_LeafLateStart],Tasks[[#This Row],[_Row]]+Tasks[[#This Row],[_Descendants]])),Tasks[[#This Row],[_LeafLateStart]]))</f>
        <v/>
      </c>
      <c r="AU109" s="62" t="str">
        <f aca="false">IF(Tasks[[#This Row],[Task Name]]="","",IF(Tasks[[#This Row],[_IsSummary]],MAX(INDEX(Tasks[_LeafLateFinish],Tasks[[#This Row],[_Row]]+1):INDEX(Tasks[_LeafLateFinish],Tasks[[#This Row],[_Row]]+Tasks[[#This Row],[_Descendants]])),Tasks[[#This Row],[_LeafLateFinish]]))</f>
        <v/>
      </c>
      <c r="AV109" s="46"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4"/>
      <c r="BA10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5"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6"/>
      <c r="BJ109" s="22"/>
      <c r="BK109" s="46" t="str">
        <f aca="false">IF(OR(Tasks[[#This Row],[Task Name]]="",Tasks[[#This Row],[Baseline Duration]]=""),"",Tasks[[#This Row],[_SpanDays]]-N(Tasks[[#This Row],[Baseline Duration]]))</f>
        <v/>
      </c>
      <c r="BL109" s="85" t="str">
        <f aca="false">IF(OR(Tasks[[#This Row],[Task Name]]="",Tasks[[#This Row],[Baseline Work]]=""),"",Tasks[[#This Row],[Work]]-N(Tasks[[#This Row],[Baseline Work]]))</f>
        <v/>
      </c>
      <c r="BM109" s="62" t="str">
        <f aca="false">IF(Tasks[[#This Row],[Task Name]]="","",IF(OR(TakeBaseline="Yes",N(Tasks[[#This Row],[Baseline Start]])=0),Tasks[[#This Row],[Start]],Tasks[[#This Row],[Baseline Start]]))</f>
        <v/>
      </c>
      <c r="BN109" s="62"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5" t="str">
        <f aca="false">IF(Tasks[[#This Row],[Task Name]]="","",IF(OR(TakeBaseline="Yes",N(Tasks[[#This Row],[Baseline Work]])=0),Tasks[[#This Row],[Work]],Tasks[[#This Row],[Baseline Work]]))</f>
        <v/>
      </c>
      <c r="BQ109" s="7"/>
      <c r="BR109" s="7"/>
      <c r="BS109" s="22"/>
      <c r="BT109" s="87"/>
      <c r="BU109" s="42" t="str">
        <f aca="false">IF(Tasks[[#This Row],[Task Name]]="","",MAX(1,N(Tasks[[#This Row],[Level]])))</f>
        <v/>
      </c>
      <c r="BV109" s="42" t="n">
        <f aca="false">ROW()-ROW(Tasks[[#Headers],[ID]])</f>
        <v>104</v>
      </c>
      <c r="BW109" s="42" t="n">
        <f aca="false">IF(OR(Tasks[[#This Row],[Task Name]]="",Tasks[[#This Row],[_Level]]&lt;=1),0,IFERROR(LOOKUP(2,1/(Tasks[[#Headers],[_Level]]:Tasks[[#This Row],[_Level]]=Tasks[[#This Row],[_Level]]-1),ROW(Tasks[[#Headers],[_Level]]:Tasks[[#This Row],[_Level]])),0))</f>
        <v>0</v>
      </c>
      <c r="BX109" s="42" t="n">
        <f aca="false">IFERROR(N(INDEX(Tasks[_Level],Tasks[[#This Row],[_Row]]+1)),0)</f>
        <v>0</v>
      </c>
      <c r="BY109" s="88" t="b">
        <f aca="false">AND(Tasks[[#This Row],[Task Name]]&lt;&gt;"",Tasks[[#This Row],[_NextLevel]]&gt;Tasks[[#This Row],[_Level]])</f>
        <v>0</v>
      </c>
      <c r="BZ109" s="42" t="n">
        <f aca="false">IF(Tasks[[#This Row],[_IsSummary]],COUNTIF(Tasks[WBS],Tasks[[#This Row],[WBS]]&amp;".*"),0)</f>
        <v>0</v>
      </c>
      <c r="CA109" s="42" t="n">
        <f aca="false">IF(AND(Tasks[[#This Row],[Task Name]]&lt;&gt;"",NOT(Tasks[[#This Row],[_IsSummary]])),1,0)</f>
        <v>0</v>
      </c>
      <c r="CB109" s="42" t="n">
        <f aca="false">IF(N(Tasks[[#This Row],[_Pred1UID]])=0,0,IFERROR(MATCH(Tasks[[#This Row],[_Pred1UID]],Tasks[UID],0),-1))</f>
        <v>0</v>
      </c>
      <c r="CC109" s="42" t="n">
        <f aca="false">IF(N(Tasks[[#This Row],[_Pred2UID]])=0,0,IFERROR(MATCH(Tasks[[#This Row],[_Pred2UID]],Tasks[UID],0),-1))</f>
        <v>0</v>
      </c>
      <c r="CD109" s="42" t="n">
        <f aca="false">IF(N(Tasks[[#This Row],[_Pred3UID]])=0,0,IFERROR(MATCH(Tasks[[#This Row],[_Pred3UID]],Tasks[UID],0),-1))</f>
        <v>0</v>
      </c>
      <c r="CE109" s="42" t="n">
        <f aca="false">IF(N(Tasks[[#This Row],[_Pred4UID]])=0,0,IFERROR(MATCH(Tasks[[#This Row],[_Pred4UID]],Tasks[UID],0),-1))</f>
        <v>0</v>
      </c>
      <c r="CF10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9" s="89" t="n">
        <f aca="false">IF(OR(Tasks[[#This Row],[_ConstraintCode]]=2,Tasks[[#This Row],[_ConstraintCode]]=3,Tasks[[#This Row],[_ConstraintCode]]=4,Tasks[[#This Row],[_ConstraintCode]]=6),Tasks[[#This Row],[_ConstraintStart]],0)</f>
        <v>0</v>
      </c>
      <c r="CI109" s="89" t="n">
        <f aca="false">IF(OR(Tasks[[#This Row],[_ConstraintCode]]=2,Tasks[[#This Row],[_ConstraintCode]]=3,Tasks[[#This Row],[_ConstraintCode]]=5,Tasks[[#This Row],[_ConstraintCode]]=7),Tasks[[#This Row],[_ConstraintStart]],2958465)</f>
        <v>2958465</v>
      </c>
      <c r="CJ10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9" s="89" t="str">
        <f aca="false">IF(NOT(Tasks[[#This Row],[_IsLeaf]]=1),"",IF(N(Tasks[[#This Row],[_Days]])&lt;=0,Tasks[[#This Row],[_LeafCalcStart]],WORKDAY.INTL(Tasks[[#This Row],[_LeafCalcStart]],Tasks[[#This Row],[_Days]]-1,WorkWeek,Holidays)))</f>
        <v/>
      </c>
      <c r="CL10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9" s="42" t="str">
        <f aca="false">IF(Tasks[[#This Row],[_Predecessors]]="","",TRIM(MID(SUBSTITUTE(SUBSTITUTE(SUBSTITUTE(UPPER(Tasks[[#This Row],[_Predecessors]]),";",",")," ",""),",",REPT(" ",99)),1,99)))</f>
        <v/>
      </c>
      <c r="CO109" s="42" t="str">
        <f aca="false">IF(Tasks[[#This Row],[_Pred1Text]]="","",IFERROR(VALUE(LEFT(Tasks[[#This Row],[_Pred1Text]],MIN(FIND("F",Tasks[[#This Row],[_Pred1Text]]&amp;"F"),FIND("S",Tasks[[#This Row],[_Pred1Text]]&amp;"S"),FIND("+",Tasks[[#This Row],[_Pred1Text]]&amp;"+"),FIND("-",Tasks[[#This Row],[_Pred1Text]]&amp;"-"))-1)),""))</f>
        <v/>
      </c>
      <c r="CP10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9" s="42" t="str">
        <f aca="false">IF(Tasks[[#This Row],[_Pred1Text]]="","",TRIM(MID(SUBSTITUTE(SUBSTITUTE(SUBSTITUTE(UPPER(Tasks[[#This Row],[_Predecessors]]),";",",")," ",""),",",REPT(" ",99)),100,99)))</f>
        <v/>
      </c>
      <c r="CS109" s="42" t="str">
        <f aca="false">IF(Tasks[[#This Row],[_Pred2Text]]="","",IFERROR(VALUE(LEFT(Tasks[[#This Row],[_Pred2Text]],MIN(FIND("F",Tasks[[#This Row],[_Pred2Text]]&amp;"F"),FIND("S",Tasks[[#This Row],[_Pred2Text]]&amp;"S"),FIND("+",Tasks[[#This Row],[_Pred2Text]]&amp;"+"),FIND("-",Tasks[[#This Row],[_Pred2Text]]&amp;"-"))-1)),""))</f>
        <v/>
      </c>
      <c r="CT10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9" s="42" t="str">
        <f aca="false">IF(Tasks[[#This Row],[_Pred2Text]]="","",TRIM(MID(SUBSTITUTE(SUBSTITUTE(SUBSTITUTE(UPPER(Tasks[[#This Row],[_Predecessors]]),";",",")," ",""),",",REPT(" ",99)),199,99)))</f>
        <v/>
      </c>
      <c r="CW109" s="42" t="str">
        <f aca="false">IF(Tasks[[#This Row],[_Pred3Text]]="","",IFERROR(VALUE(LEFT(Tasks[[#This Row],[_Pred3Text]],MIN(FIND("F",Tasks[[#This Row],[_Pred3Text]]&amp;"F"),FIND("S",Tasks[[#This Row],[_Pred3Text]]&amp;"S"),FIND("+",Tasks[[#This Row],[_Pred3Text]]&amp;"+"),FIND("-",Tasks[[#This Row],[_Pred3Text]]&amp;"-"))-1)),""))</f>
        <v/>
      </c>
      <c r="CX10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9" s="42" t="str">
        <f aca="false">IF(Tasks[[#This Row],[_Pred3Text]]="","",TRIM(MID(SUBSTITUTE(SUBSTITUTE(SUBSTITUTE(UPPER(Tasks[[#This Row],[_Predecessors]]),";",",")," ",""),",",REPT(" ",99)),298,99)))</f>
        <v/>
      </c>
      <c r="DA109" s="42" t="str">
        <f aca="false">IF(Tasks[[#This Row],[_Pred4Text]]="","",IFERROR(VALUE(LEFT(Tasks[[#This Row],[_Pred4Text]],MIN(FIND("F",Tasks[[#This Row],[_Pred4Text]]&amp;"F"),FIND("S",Tasks[[#This Row],[_Pred4Text]]&amp;"S"),FIND("+",Tasks[[#This Row],[_Pred4Text]]&amp;"+"),FIND("-",Tasks[[#This Row],[_Pred4Text]]&amp;"-"))-1)),""))</f>
        <v/>
      </c>
      <c r="DB10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9" s="42" t="str">
        <f aca="false">IF(OR(Tasks[[#This Row],[Task Name]]="",Tasks[[#This Row],[_Resources]]=""),"",TRIM(MID(SUBSTITUTE(Tasks[[#This Row],[_Resources]],",",REPT(" ",99)),1,99)))</f>
        <v/>
      </c>
      <c r="DE109" s="42" t="str">
        <f aca="false">IF(Tasks[[#This Row],[_Res1Text]]="","",TRIM(MID(SUBSTITUTE(Tasks[[#This Row],[_Resources]],",",REPT(" ",99)),100,99)))</f>
        <v/>
      </c>
      <c r="DF109" s="42" t="str">
        <f aca="false">IF(Tasks[[#This Row],[_Res2Text]]="","",TRIM(MID(SUBSTITUTE(Tasks[[#This Row],[_Resources]],",",REPT(" ",99)),199,99)))</f>
        <v/>
      </c>
      <c r="DG109" s="42" t="str">
        <f aca="false">IF(Tasks[[#This Row],[_Res3Text]]="","",TRIM(MID(SUBSTITUTE(Tasks[[#This Row],[_Resources]],",",REPT(" ",99)),298,99)))</f>
        <v/>
      </c>
      <c r="DH109" s="42" t="n">
        <f aca="false">IF(Tasks[[#This Row],[_Res1Text]]="",0,IFERROR(MATCH(TRIM(LEFT(Tasks[[#This Row],[_Res1Text]],FIND("[",Tasks[[#This Row],[_Res1Text]]&amp;"[")-1)),res_Name,0),IFERROR(MATCH(TRIM(LEFT(Tasks[[#This Row],[_Res1Text]],FIND("[",Tasks[[#This Row],[_Res1Text]]&amp;"[")-1)),res_Initials,0),0)))</f>
        <v>0</v>
      </c>
      <c r="DI109" s="42" t="n">
        <f aca="false">IF(Tasks[[#This Row],[_Res2Text]]="",0,IFERROR(MATCH(TRIM(LEFT(Tasks[[#This Row],[_Res2Text]],FIND("[",Tasks[[#This Row],[_Res2Text]]&amp;"[")-1)),res_Name,0),IFERROR(MATCH(TRIM(LEFT(Tasks[[#This Row],[_Res2Text]],FIND("[",Tasks[[#This Row],[_Res2Text]]&amp;"[")-1)),res_Initials,0),0)))</f>
        <v>0</v>
      </c>
      <c r="DJ109" s="42" t="n">
        <f aca="false">IF(Tasks[[#This Row],[_Res3Text]]="",0,IFERROR(MATCH(TRIM(LEFT(Tasks[[#This Row],[_Res3Text]],FIND("[",Tasks[[#This Row],[_Res3Text]]&amp;"[")-1)),res_Name,0),IFERROR(MATCH(TRIM(LEFT(Tasks[[#This Row],[_Res3Text]],FIND("[",Tasks[[#This Row],[_Res3Text]]&amp;"[")-1)),res_Initials,0),0)))</f>
        <v>0</v>
      </c>
      <c r="DK109" s="42" t="n">
        <f aca="false">IF(Tasks[[#This Row],[_Res4Text]]="",0,IFERROR(MATCH(TRIM(LEFT(Tasks[[#This Row],[_Res4Text]],FIND("[",Tasks[[#This Row],[_Res4Text]]&amp;"[")-1)),res_Name,0),IFERROR(MATCH(TRIM(LEFT(Tasks[[#This Row],[_Res4Text]],FIND("[",Tasks[[#This Row],[_Res4Text]]&amp;"[")-1)),res_Initials,0),0)))</f>
        <v>0</v>
      </c>
      <c r="DL109" s="42" t="str">
        <f aca="false">IF(Tasks[[#This Row],[_Res1Text]]="","",IF(Tasks[[#This Row],[_Res1Row]]&gt;0,INDEX(res_Name,Tasks[[#This Row],[_Res1Row]]),TRIM(LEFT(Tasks[[#This Row],[_Res1Text]],FIND("[",Tasks[[#This Row],[_Res1Text]]&amp;"[")-1))))</f>
        <v/>
      </c>
      <c r="DM10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9" s="42" t="n">
        <f aca="false">IF(NOT(Tasks[[#This Row],[_IsLeaf]]=1),0,(Tasks[[#This Row],[_Resource1]]&lt;&gt;"")+(Tasks[[#This Row],[_Res2]]&lt;&gt;"")+(Tasks[[#This Row],[_Res3]]&lt;&gt;"")+(Tasks[[#This Row],[_Res4]]&lt;&gt;""))</f>
        <v>0</v>
      </c>
      <c r="DO109" s="42" t="str">
        <f aca="false">IF(Tasks[[#This Row],[_Res2Text]]="","",IF(Tasks[[#This Row],[_Res2Row]]&gt;0,INDEX(res_Name,Tasks[[#This Row],[_Res2Row]]),TRIM(LEFT(Tasks[[#This Row],[_Res2Text]],FIND("[",Tasks[[#This Row],[_Res2Text]]&amp;"[")-1))))</f>
        <v/>
      </c>
      <c r="DP10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9" s="42" t="n">
        <f aca="false">IF(OR(NOT(Tasks[[#This Row],[_IsLeaf]]=1),Tasks[[#This Row],[_Res2Row]]=0),0,N(Tasks[[#This Row],[_Days]])*HoursPerDay*IF(Tasks[[#This Row],[_Res2Units]]="",DefaultUnits,Tasks[[#This Row],[_Res2Units]]))</f>
        <v>0</v>
      </c>
      <c r="DR109" s="42" t="n">
        <f aca="false">IF(AND(AND(Tasks[[#This Row],[_IsLeaf]]=1,Tasks[[#This Row],[_LeafTotalWork]]&gt;0),Tasks[[#This Row],[_Res2Work]]&gt;0),Tasks[[#This Row],[_Res2Work]]/(Tasks[[#This Row],[_FinishWorkday]]-Tasks[[#This Row],[_StartWorkday]]+1),0)</f>
        <v>0</v>
      </c>
      <c r="DS109" s="42" t="n">
        <f aca="false">Tasks[[#This Row],[_Res2WorkPerWD]]*MAX(0,Tasks[[#This Row],[_StartWorkday]]-1)</f>
        <v>0</v>
      </c>
      <c r="DT109" s="42" t="n">
        <f aca="false">Tasks[[#This Row],[_Res2Work]]*Tasks[[#This Row],[_LeafProgress]]</f>
        <v>0</v>
      </c>
      <c r="DU109" s="42" t="str">
        <f aca="false">IF(Tasks[[#This Row],[_Res3Text]]="","",IF(Tasks[[#This Row],[_Res3Row]]&gt;0,INDEX(res_Name,Tasks[[#This Row],[_Res3Row]]),TRIM(LEFT(Tasks[[#This Row],[_Res3Text]],FIND("[",Tasks[[#This Row],[_Res3Text]]&amp;"[")-1))))</f>
        <v/>
      </c>
      <c r="DV10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9" s="42" t="n">
        <f aca="false">IF(OR(NOT(Tasks[[#This Row],[_IsLeaf]]=1),Tasks[[#This Row],[_Res3Row]]=0),0,N(Tasks[[#This Row],[_Days]])*HoursPerDay*IF(Tasks[[#This Row],[_Res3Units]]="",DefaultUnits,Tasks[[#This Row],[_Res3Units]]))</f>
        <v>0</v>
      </c>
      <c r="DX109" s="42" t="n">
        <f aca="false">IF(AND(AND(Tasks[[#This Row],[_IsLeaf]]=1,Tasks[[#This Row],[_LeafTotalWork]]&gt;0),Tasks[[#This Row],[_Res3Work]]&gt;0),Tasks[[#This Row],[_Res3Work]]/(Tasks[[#This Row],[_FinishWorkday]]-Tasks[[#This Row],[_StartWorkday]]+1),0)</f>
        <v>0</v>
      </c>
      <c r="DY109" s="42" t="n">
        <f aca="false">Tasks[[#This Row],[_Res3WorkPerWD]]*MAX(0,Tasks[[#This Row],[_StartWorkday]]-1)</f>
        <v>0</v>
      </c>
      <c r="DZ109" s="42" t="n">
        <f aca="false">Tasks[[#This Row],[_Res3Work]]*Tasks[[#This Row],[_LeafProgress]]</f>
        <v>0</v>
      </c>
      <c r="EA109" s="42" t="str">
        <f aca="false">IF(Tasks[[#This Row],[_Res4Text]]="","",IF(Tasks[[#This Row],[_Res4Row]]&gt;0,INDEX(res_Name,Tasks[[#This Row],[_Res4Row]]),TRIM(LEFT(Tasks[[#This Row],[_Res4Text]],FIND("[",Tasks[[#This Row],[_Res4Text]]&amp;"[")-1))))</f>
        <v/>
      </c>
      <c r="EB10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9" s="42" t="n">
        <f aca="false">IF(OR(NOT(Tasks[[#This Row],[_IsLeaf]]=1),Tasks[[#This Row],[_Res4Row]]=0),0,N(Tasks[[#This Row],[_Days]])*HoursPerDay*IF(Tasks[[#This Row],[_Res4Units]]="",DefaultUnits,Tasks[[#This Row],[_Res4Units]]))</f>
        <v>0</v>
      </c>
      <c r="ED109" s="42" t="n">
        <f aca="false">IF(AND(AND(Tasks[[#This Row],[_IsLeaf]]=1,Tasks[[#This Row],[_LeafTotalWork]]&gt;0),Tasks[[#This Row],[_Res4Work]]&gt;0),Tasks[[#This Row],[_Res4Work]]/(Tasks[[#This Row],[_FinishWorkday]]-Tasks[[#This Row],[_StartWorkday]]+1),0)</f>
        <v>0</v>
      </c>
      <c r="EE109" s="42" t="n">
        <f aca="false">Tasks[[#This Row],[_Res4WorkPerWD]]*MAX(0,Tasks[[#This Row],[_StartWorkday]]-1)</f>
        <v>0</v>
      </c>
      <c r="EF109" s="42" t="n">
        <f aca="false">Tasks[[#This Row],[_Res4Work]]*Tasks[[#This Row],[_LeafProgress]]</f>
        <v>0</v>
      </c>
      <c r="EG109" s="42" t="n">
        <f aca="false">IF(ISNUMBER(Tasks[[#This Row],[% Complete]]),Tasks[[#This Row],[% Complete]],IF(Tasks[[#This Row],[Stage]]="",0,IFERROR(INDEX(stg_Pct,MATCH(Tasks[[#This Row],[Stage]],stg_Name,0)),0)))</f>
        <v>0</v>
      </c>
      <c r="EH109" s="42" t="n">
        <f aca="false">IF(NOT(Tasks[[#This Row],[_IsLeaf]]=1),0,IF(N(Tasks[[#This Row],[Actual Finish]])&gt;0,1,MIN(1,Tasks[[#This Row],[_Pct]])))</f>
        <v>0</v>
      </c>
      <c r="EI109" s="42" t="n">
        <f aca="false">IF(OR(NOT(Tasks[[#This Row],[_IsLeaf]]=1),Tasks[[#This Row],[_Res1Row]]=0),0,N(Tasks[[#This Row],[_Days]])*HoursPerDay*IF(Tasks[[#This Row],[_Units1]]="",DefaultUnits,Tasks[[#This Row],[_Units1]]))</f>
        <v>0</v>
      </c>
      <c r="EJ109" s="42" t="n">
        <f aca="false">Tasks[[#This Row],[_LeafWork]]+Tasks[[#This Row],[_Res2Work]]+Tasks[[#This Row],[_Res3Work]]+Tasks[[#This Row],[_Res4Work]]</f>
        <v>0</v>
      </c>
      <c r="EK10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9" s="42" t="n">
        <f aca="false">IF(NOT(Tasks[[#This Row],[_IsLeaf]]=1),0,MAX(_xlfn.MAXIFS(Tasks[_Row],Tasks[_Pred1UID],Tasks[[#This Row],[UID]]),_xlfn.MAXIFS(Tasks[_Row],Tasks[_Pred2UID],Tasks[[#This Row],[UID]]),_xlfn.MAXIFS(Tasks[_Row],Tasks[_Pred3UID],Tasks[[#This Row],[UID]]),_xlfn.MAXIFS(Tasks[_Row],Tasks[_Pred4UID],Tasks[[#This Row],[UID]])))</f>
        <v>0</v>
      </c>
      <c r="ET10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9" s="89" t="str">
        <f aca="false">IF(NOT(Tasks[[#This Row],[_IsLeaf]]=1),"",IF(N(Tasks[[#This Row],[_Days]])&lt;=0,Tasks[[#This Row],[_LeafLateFinish]],WORKDAY.INTL(Tasks[[#This Row],[_LeafLateFinish]],-(Tasks[[#This Row],[_Days]]-1),WorkWeek,Holidays)))</f>
        <v/>
      </c>
      <c r="EW10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9" s="88" t="b">
        <f aca="false">AND(Tasks[[#This Row],[_IsLeaf]]=1,Tasks[[#This Row],[_LeafProgress]]&lt;1,N(Tasks[[#This Row],[_LeafTotalSlack]])&lt;=CriticalSlackDays)</f>
        <v>0</v>
      </c>
      <c r="EY109" s="42" t="n">
        <f aca="false">IF(AND(Tasks[[#This Row],[_IsLeaf]]=1,Tasks[[#This Row],[_ConstraintCode]]=1,Tasks[[#This Row],[Mode]]&lt;&gt;"Manual",N(Tasks[[#This Row],[Actual Start]])=0),MAX(0,N(Tasks[[#This Row],[Free Slack]])),0)</f>
        <v>0</v>
      </c>
      <c r="EZ109" s="89" t="str">
        <f aca="false">IF(NOT(Tasks[[#This Row],[_IsLeaf]]=1),"",IF(Tasks[[#This Row],[_AlapShift]]=0,Tasks[[#This Row],[_LeafCalcStart]],WORKDAY.INTL(Tasks[[#This Row],[_LeafCalcStart]],Tasks[[#This Row],[_AlapShift]],WorkWeek,Holidays)))</f>
        <v/>
      </c>
      <c r="FA109" s="89" t="str">
        <f aca="false">IF(NOT(Tasks[[#This Row],[_IsLeaf]]=1),"",IF(Tasks[[#This Row],[_AlapShift]]=0,Tasks[[#This Row],[_LeafCalcFinish]],WORKDAY.INTL(Tasks[[#This Row],[_LeafCalcFinish]],Tasks[[#This Row],[_AlapShift]],WorkWeek,Holidays)))</f>
        <v/>
      </c>
      <c r="FB109" s="89" t="str">
        <f aca="false">IF(NOT(Tasks[[#This Row],[_IsLeaf]]=1),"",IF(Tasks[[#This Row],[_AlapShift]]=0,Tasks[[#This Row],[_LeafFcstStart]],WORKDAY.INTL(Tasks[[#This Row],[_LeafFcstStart]],Tasks[[#This Row],[_AlapShift]],WorkWeek,Holidays)))</f>
        <v/>
      </c>
      <c r="FC109" s="89" t="str">
        <f aca="false">IF(NOT(Tasks[[#This Row],[_IsLeaf]]=1),"",IF(Tasks[[#This Row],[_AlapShift]]=0,Tasks[[#This Row],[_LeafFcstFinish]],WORKDAY.INTL(Tasks[[#This Row],[_LeafFcstFinish]],Tasks[[#This Row],[_AlapShift]],WorkWeek,Holidays)))</f>
        <v/>
      </c>
      <c r="FD109" s="89" t="str">
        <f aca="false">IF(Tasks[[#This Row],[Task Name]]="","",IF(Tasks[[#This Row],[_IsSummary]],MIN(INDEX(Tasks[_ShownCalcStart],Tasks[[#This Row],[_Row]]+1):INDEX(Tasks[_ShownCalcStart],Tasks[[#This Row],[_Row]]+Tasks[[#This Row],[_Descendants]])),Tasks[[#This Row],[_ShownCalcStart]]))</f>
        <v/>
      </c>
      <c r="FE109" s="89" t="str">
        <f aca="false">IF(Tasks[[#This Row],[Task Name]]="","",IF(Tasks[[#This Row],[_IsSummary]],MAX(INDEX(Tasks[_ShownCalcFinish],Tasks[[#This Row],[_Row]]+1):INDEX(Tasks[_ShownCalcFinish],Tasks[[#This Row],[_Row]]+Tasks[[#This Row],[_Descendants]])),Tasks[[#This Row],[_ShownCalcFinish]]))</f>
        <v/>
      </c>
      <c r="FF10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9" s="42" t="n">
        <f aca="false">IF(AND(Tasks[[#This Row],[_IsLeaf]]=1,Tasks[[#This Row],[_LeafTotalWork]]&gt;0),NETWORKDAYS.INTL(ProjectStart,Tasks[[#This Row],[_ShownFcstStart]],WorkWeek,Holidays),0)</f>
        <v>0</v>
      </c>
      <c r="FS109" s="42" t="n">
        <f aca="false">IF(AND(Tasks[[#This Row],[_IsLeaf]]=1,Tasks[[#This Row],[_LeafTotalWork]]&gt;0),MAX(Tasks[[#This Row],[_StartWorkday]],NETWORKDAYS.INTL(ProjectStart,Tasks[[#This Row],[_ShownFcstFinish]],WorkWeek,Holidays)),0)</f>
        <v>0</v>
      </c>
      <c r="FT109" s="42" t="n">
        <f aca="false">IF(AND(Tasks[[#This Row],[_IsLeaf]]=1,Tasks[[#This Row],[_LeafTotalWork]]&gt;0),Tasks[[#This Row],[_LeafWork]]/(Tasks[[#This Row],[_FinishWorkday]]-Tasks[[#This Row],[_StartWorkday]]+1),0)</f>
        <v>0</v>
      </c>
      <c r="FU109" s="42" t="n">
        <f aca="false">Tasks[[#This Row],[_WorkPerWorkday]]*(Tasks[[#This Row],[_StartWorkday]]-1)</f>
        <v>-0</v>
      </c>
      <c r="FV109" s="42" t="n">
        <f aca="false">IF(Tasks[[#This Row],[_IsLeaf]]=1,MAX(N(Tasks[[#This Row],[_Days]]),0.1),0)</f>
        <v>0</v>
      </c>
      <c r="FW109" s="42" t="n">
        <f aca="false">Tasks[[#This Row],[_WeightDur]]*Tasks[[#This Row],[_LeafProgress]]</f>
        <v>0</v>
      </c>
      <c r="FX109" s="42" t="n">
        <f aca="false">Tasks[[#This Row],[_WeightDur]]*Tasks[[#This Row],[_PlannedPct]]</f>
        <v>0</v>
      </c>
      <c r="FY10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9" s="42" t="str">
        <f aca="false">IF(AND(Tasks[[#This Row],[_IsLeaf]]=1,N(Tasks[[#This Row],[_Days]])=0,Tasks[[#This Row],[_LeafProgress]]&lt;1),Tasks[[#This Row],[_ShownFcstFinish]]+Tasks[[#This Row],[_Row]]/100000,"")</f>
        <v/>
      </c>
      <c r="GA10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9" s="42" t="str">
        <f aca="false">IF(Tasks[[#This Row],[Task Name]]="","",LEFT(Tasks[[#This Row],[WBS]],FIND(".",Tasks[[#This Row],[WBS]]&amp;".")-1))</f>
        <v/>
      </c>
      <c r="GC109" s="42" t="str">
        <f aca="false">IF(AND(Tasks[[#This Row],[Task Name]]&lt;&gt;"",Tasks[[#This Row],[_Level]]=1),Tasks[[#This Row],[_Row]],"")</f>
        <v/>
      </c>
      <c r="GD109" s="42" t="str">
        <f aca="false">IF(AND(Tasks[[#This Row],[_IsLeaf]]=1,N(Tasks[[#This Row],[_Days]])=0),Tasks[[#This Row],[Planned Finish]]+Tasks[[#This Row],[_Row]]/100000,"")</f>
        <v/>
      </c>
      <c r="GE109" s="42" t="str">
        <f aca="false">IF(AND(Tasks[[#This Row],[_IsLeaf]]=1,Tasks[[#This Row],[_LeafProgress]]&lt;1,OR(N(Tasks[[#This Row],[Finish Var]])&gt;0,Tasks[[#This Row],[Status]]="Late Start")),MAX(0,Tasks[[#This Row],[Finish Var]])+1-Tasks[[#This Row],[_Row]]/1000000,"")</f>
        <v/>
      </c>
      <c r="GF109" s="42" t="str">
        <f aca="false">IF(AND(Tasks[[#This Row],[_IsLeaf]]=1,N(Tasks[[#This Row],[Actual Start]])=0,Tasks[[#This Row],[_ShownFcstStart]]&gt;=StatusDate,Tasks[[#This Row],[_ShownFcstStart]]&lt;=LookaheadEnd),Tasks[[#This Row],[_ShownFcstStart]]+Tasks[[#This Row],[_Row]]/100000,"")</f>
        <v/>
      </c>
      <c r="GG109" s="42" t="str">
        <f aca="false">IF(AND(Tasks[[#This Row],[_IsLeaf]]=1,Tasks[[#This Row],[_LeafProgress]]&lt;1,Tasks[[#This Row],[_ShownFcstFinish]]&gt;=StatusDate,Tasks[[#This Row],[_ShownFcstFinish]]&lt;=LookaheadEnd),Tasks[[#This Row],[_ShownFcstFinish]]+Tasks[[#This Row],[_Row]]/100000,"")</f>
        <v/>
      </c>
      <c r="GH109" s="42" t="str">
        <f aca="false">IF(Tasks[[#This Row],[_LeafCritical]],Tasks[[#This Row],[_ShownFcstStart]]+Tasks[[#This Row],[_Row]]/100000,"")</f>
        <v/>
      </c>
      <c r="GI109" s="42" t="n">
        <f aca="false">Tasks[[#This Row],[_LeafWork]]*Tasks[[#This Row],[_LeafProgress]]</f>
        <v>0</v>
      </c>
      <c r="GJ109" s="89" t="str">
        <f aca="false">IF(AND(Tasks[[#This Row],[_IsLeaf]]=1,Tasks[[#This Row],[_LeafProgress]]&gt;=1),IF(N(Tasks[[#This Row],[Actual Finish]])&gt;0,Tasks[[#This Row],[Actual Finish]],Tasks[[#This Row],[_ShownFcstFinish]]),"")</f>
        <v/>
      </c>
      <c r="GK109" s="42" t="n">
        <f aca="false">IF(Tasks[[#This Row],[_IsLeaf]]=1,N(Tasks[[#This Row],[Story Points]]),0)</f>
        <v>0</v>
      </c>
      <c r="GL109" s="42" t="str">
        <f aca="false">""</f>
        <v/>
      </c>
      <c r="GM109" s="88" t="b">
        <f aca="false">IF(Tasks[[#This Row],[Task Name]]="",FALSE(),AND(Tasks[[#This Row],[_IsLeaf]]=1,N(Tasks[[#This Row],[_Days]])=0))</f>
        <v>0</v>
      </c>
      <c r="GN109" s="89" t="n">
        <f aca="false">IF(Tasks[[#This Row],[Task Name]]="",0,IF(AND(Tasks[[#This Row],[_IsLeaf]]=1,NOT(Tasks[[#This Row],[_IsMilestone]]),N(Tasks[[#This Row],[Progress]])&gt;0),Tasks[[#This Row],[Start]],0))</f>
        <v>0</v>
      </c>
      <c r="GO109" s="89" t="n">
        <f aca="false">IF(Tasks[[#This Row],[_DoneFrom]]=0,0,IF(Tasks[[#This Row],[Progress]]&gt;=1,Tasks[[#This Row],[Finish]],MAX(Tasks[[#This Row],[_DoneFrom]],Tasks[[#This Row],[Start]]+ROUND((Tasks[[#This Row],[Finish]]-Tasks[[#This Row],[Start]]+1)*Tasks[[#This Row],[Progress]],0)-1)))</f>
        <v>0</v>
      </c>
      <c r="GP109" s="89" t="n">
        <f aca="false">IF(Tasks[[#This Row],[Task Name]]="",0,IF(OR(NOT(Tasks[[#This Row],[_IsLeaf]]=1),Tasks[[#This Row],[_IsMilestone]],N(Tasks[[#This Row],[Progress]])&gt;=1),0,IF(Tasks[[#This Row],[_DoneTo]]&gt;0,Tasks[[#This Row],[_DoneTo]]+1,Tasks[[#This Row],[Start]])))</f>
        <v>0</v>
      </c>
      <c r="GQ109" s="89" t="n">
        <f aca="false">IF(Tasks[[#This Row],[_RemFrom]]=0,0,Tasks[[#This Row],[Finish]])</f>
        <v>0</v>
      </c>
      <c r="GR109" s="88" t="b">
        <f aca="false">IF(Tasks[[#This Row],[Task Name]]="",FALSE(),OR(NOT(BaselineSet),N(Tasks[[#This Row],[Baseline Start]])&gt;0))</f>
        <v>0</v>
      </c>
      <c r="GS10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9" s="90" t="str">
        <f aca="false">IF(Tasks[[#This Row],[_IsLeaf]]=1,Tasks[[#This Row],[_Row]],"")</f>
        <v/>
      </c>
      <c r="GW109" s="90" t="str">
        <f aca="false">IFERROR(INDEX(Tasks[UID],SMALL(Tasks[_PickKey],Tasks[[#This Row],[_Row]]))&amp;" "&amp;INDEX(Tasks[Task Name],SMALL(Tasks[_PickKey],Tasks[[#This Row],[_Row]])),"")</f>
        <v/>
      </c>
      <c r="GX109" s="42" t="str">
        <f aca="false">IF(Tasks[[#This Row],[Task Name]]="","",IF(Tasks[[#This Row],[_IsSummary]],NETWORKDAYS.INTL(Tasks[[#This Row],[Start]],Tasks[[#This Row],[Finish]],WorkWeek,Holidays),N(Tasks[[#This Row],[_Days]])))</f>
        <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3"/>
      <c r="U110" s="23"/>
      <c r="V110" s="83"/>
      <c r="W110" s="23"/>
      <c r="X110" s="83"/>
      <c r="Y110" s="23"/>
      <c r="Z110" s="83"/>
      <c r="AA110" s="23"/>
      <c r="AB110" s="23"/>
      <c r="AC110" s="7"/>
      <c r="AD110" s="7"/>
      <c r="AE110" s="62" t="str">
        <f aca="false">IF(Tasks[[#This Row],[Task Name]]="","",IF(Tasks[[#This Row],[_IsSummary]],MIN(INDEX(Tasks[_ShownFcstStart],Tasks[[#This Row],[_Row]]+1):INDEX(Tasks[_ShownFcstStart],Tasks[[#This Row],[_Row]]+Tasks[[#This Row],[_Descendants]])),Tasks[[#This Row],[_ShownFcstStart]]))</f>
        <v/>
      </c>
      <c r="AF110" s="62"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0" s="7"/>
      <c r="AK110" s="22"/>
      <c r="AL110" s="23"/>
      <c r="AM110" s="7"/>
      <c r="AN110" s="46"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2" t="str">
        <f aca="false">IF(Tasks[[#This Row],[Task Name]]="","",IF(N(Tasks[[#This Row],[Baseline Start]])&gt;0,Tasks[[#This Row],[Baseline Start]],Tasks[[#This Row],[_CalcStart]]))</f>
        <v/>
      </c>
      <c r="AR110" s="62" t="str">
        <f aca="false">IF(Tasks[[#This Row],[Task Name]]="","",IF(N(Tasks[[#This Row],[Baseline Finish]])&gt;0,Tasks[[#This Row],[Baseline Finish]],Tasks[[#This Row],[_CalcFinish]]))</f>
        <v/>
      </c>
      <c r="AS110" s="46" t="str">
        <f aca="false">IF(Tasks[[#This Row],[Task Name]]="","",IF(Tasks[[#This Row],[Start]]&gt;=Tasks[[#This Row],[Planned Start]],NETWORKDAYS.INTL(Tasks[[#This Row],[Planned Start]],Tasks[[#This Row],[Start]],WorkWeek,Holidays)-1,1-NETWORKDAYS.INTL(Tasks[[#This Row],[Start]],Tasks[[#This Row],[Planned Start]],WorkWeek,Holidays)))</f>
        <v/>
      </c>
      <c r="AT110" s="62" t="str">
        <f aca="false">IF(Tasks[[#This Row],[Task Name]]="","",IF(Tasks[[#This Row],[_IsSummary]],MIN(INDEX(Tasks[_LeafLateStart],Tasks[[#This Row],[_Row]]+1):INDEX(Tasks[_LeafLateStart],Tasks[[#This Row],[_Row]]+Tasks[[#This Row],[_Descendants]])),Tasks[[#This Row],[_LeafLateStart]]))</f>
        <v/>
      </c>
      <c r="AU110" s="62" t="str">
        <f aca="false">IF(Tasks[[#This Row],[Task Name]]="","",IF(Tasks[[#This Row],[_IsSummary]],MAX(INDEX(Tasks[_LeafLateFinish],Tasks[[#This Row],[_Row]]+1):INDEX(Tasks[_LeafLateFinish],Tasks[[#This Row],[_Row]]+Tasks[[#This Row],[_Descendants]])),Tasks[[#This Row],[_LeafLateFinish]]))</f>
        <v/>
      </c>
      <c r="AV110" s="46"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4"/>
      <c r="BA11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5"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6"/>
      <c r="BJ110" s="22"/>
      <c r="BK110" s="46" t="str">
        <f aca="false">IF(OR(Tasks[[#This Row],[Task Name]]="",Tasks[[#This Row],[Baseline Duration]]=""),"",Tasks[[#This Row],[_SpanDays]]-N(Tasks[[#This Row],[Baseline Duration]]))</f>
        <v/>
      </c>
      <c r="BL110" s="85" t="str">
        <f aca="false">IF(OR(Tasks[[#This Row],[Task Name]]="",Tasks[[#This Row],[Baseline Work]]=""),"",Tasks[[#This Row],[Work]]-N(Tasks[[#This Row],[Baseline Work]]))</f>
        <v/>
      </c>
      <c r="BM110" s="62" t="str">
        <f aca="false">IF(Tasks[[#This Row],[Task Name]]="","",IF(OR(TakeBaseline="Yes",N(Tasks[[#This Row],[Baseline Start]])=0),Tasks[[#This Row],[Start]],Tasks[[#This Row],[Baseline Start]]))</f>
        <v/>
      </c>
      <c r="BN110" s="62"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5" t="str">
        <f aca="false">IF(Tasks[[#This Row],[Task Name]]="","",IF(OR(TakeBaseline="Yes",N(Tasks[[#This Row],[Baseline Work]])=0),Tasks[[#This Row],[Work]],Tasks[[#This Row],[Baseline Work]]))</f>
        <v/>
      </c>
      <c r="BQ110" s="7"/>
      <c r="BR110" s="7"/>
      <c r="BS110" s="22"/>
      <c r="BT110" s="87"/>
      <c r="BU110" s="42" t="str">
        <f aca="false">IF(Tasks[[#This Row],[Task Name]]="","",MAX(1,N(Tasks[[#This Row],[Level]])))</f>
        <v/>
      </c>
      <c r="BV110" s="42" t="n">
        <f aca="false">ROW()-ROW(Tasks[[#Headers],[ID]])</f>
        <v>105</v>
      </c>
      <c r="BW110" s="42" t="n">
        <f aca="false">IF(OR(Tasks[[#This Row],[Task Name]]="",Tasks[[#This Row],[_Level]]&lt;=1),0,IFERROR(LOOKUP(2,1/(Tasks[[#Headers],[_Level]]:Tasks[[#This Row],[_Level]]=Tasks[[#This Row],[_Level]]-1),ROW(Tasks[[#Headers],[_Level]]:Tasks[[#This Row],[_Level]])),0))</f>
        <v>0</v>
      </c>
      <c r="BX110" s="42" t="n">
        <f aca="false">IFERROR(N(INDEX(Tasks[_Level],Tasks[[#This Row],[_Row]]+1)),0)</f>
        <v>0</v>
      </c>
      <c r="BY110" s="88" t="b">
        <f aca="false">AND(Tasks[[#This Row],[Task Name]]&lt;&gt;"",Tasks[[#This Row],[_NextLevel]]&gt;Tasks[[#This Row],[_Level]])</f>
        <v>0</v>
      </c>
      <c r="BZ110" s="42" t="n">
        <f aca="false">IF(Tasks[[#This Row],[_IsSummary]],COUNTIF(Tasks[WBS],Tasks[[#This Row],[WBS]]&amp;".*"),0)</f>
        <v>0</v>
      </c>
      <c r="CA110" s="42" t="n">
        <f aca="false">IF(AND(Tasks[[#This Row],[Task Name]]&lt;&gt;"",NOT(Tasks[[#This Row],[_IsSummary]])),1,0)</f>
        <v>0</v>
      </c>
      <c r="CB110" s="42" t="n">
        <f aca="false">IF(N(Tasks[[#This Row],[_Pred1UID]])=0,0,IFERROR(MATCH(Tasks[[#This Row],[_Pred1UID]],Tasks[UID],0),-1))</f>
        <v>0</v>
      </c>
      <c r="CC110" s="42" t="n">
        <f aca="false">IF(N(Tasks[[#This Row],[_Pred2UID]])=0,0,IFERROR(MATCH(Tasks[[#This Row],[_Pred2UID]],Tasks[UID],0),-1))</f>
        <v>0</v>
      </c>
      <c r="CD110" s="42" t="n">
        <f aca="false">IF(N(Tasks[[#This Row],[_Pred3UID]])=0,0,IFERROR(MATCH(Tasks[[#This Row],[_Pred3UID]],Tasks[UID],0),-1))</f>
        <v>0</v>
      </c>
      <c r="CE110" s="42" t="n">
        <f aca="false">IF(N(Tasks[[#This Row],[_Pred4UID]])=0,0,IFERROR(MATCH(Tasks[[#This Row],[_Pred4UID]],Tasks[UID],0),-1))</f>
        <v>0</v>
      </c>
      <c r="CF1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0" s="89" t="n">
        <f aca="false">IF(OR(Tasks[[#This Row],[_ConstraintCode]]=2,Tasks[[#This Row],[_ConstraintCode]]=3,Tasks[[#This Row],[_ConstraintCode]]=4,Tasks[[#This Row],[_ConstraintCode]]=6),Tasks[[#This Row],[_ConstraintStart]],0)</f>
        <v>0</v>
      </c>
      <c r="CI110" s="89" t="n">
        <f aca="false">IF(OR(Tasks[[#This Row],[_ConstraintCode]]=2,Tasks[[#This Row],[_ConstraintCode]]=3,Tasks[[#This Row],[_ConstraintCode]]=5,Tasks[[#This Row],[_ConstraintCode]]=7),Tasks[[#This Row],[_ConstraintStart]],2958465)</f>
        <v>2958465</v>
      </c>
      <c r="CJ1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0" s="89" t="str">
        <f aca="false">IF(NOT(Tasks[[#This Row],[_IsLeaf]]=1),"",IF(N(Tasks[[#This Row],[_Days]])&lt;=0,Tasks[[#This Row],[_LeafCalcStart]],WORKDAY.INTL(Tasks[[#This Row],[_LeafCalcStart]],Tasks[[#This Row],[_Days]]-1,WorkWeek,Holidays)))</f>
        <v/>
      </c>
      <c r="CL1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0" s="42" t="str">
        <f aca="false">IF(Tasks[[#This Row],[_Predecessors]]="","",TRIM(MID(SUBSTITUTE(SUBSTITUTE(SUBSTITUTE(UPPER(Tasks[[#This Row],[_Predecessors]]),";",",")," ",""),",",REPT(" ",99)),1,99)))</f>
        <v/>
      </c>
      <c r="CO110" s="42" t="str">
        <f aca="false">IF(Tasks[[#This Row],[_Pred1Text]]="","",IFERROR(VALUE(LEFT(Tasks[[#This Row],[_Pred1Text]],MIN(FIND("F",Tasks[[#This Row],[_Pred1Text]]&amp;"F"),FIND("S",Tasks[[#This Row],[_Pred1Text]]&amp;"S"),FIND("+",Tasks[[#This Row],[_Pred1Text]]&amp;"+"),FIND("-",Tasks[[#This Row],[_Pred1Text]]&amp;"-"))-1)),""))</f>
        <v/>
      </c>
      <c r="CP1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0" s="42" t="str">
        <f aca="false">IF(Tasks[[#This Row],[_Pred1Text]]="","",TRIM(MID(SUBSTITUTE(SUBSTITUTE(SUBSTITUTE(UPPER(Tasks[[#This Row],[_Predecessors]]),";",",")," ",""),",",REPT(" ",99)),100,99)))</f>
        <v/>
      </c>
      <c r="CS110" s="42" t="str">
        <f aca="false">IF(Tasks[[#This Row],[_Pred2Text]]="","",IFERROR(VALUE(LEFT(Tasks[[#This Row],[_Pred2Text]],MIN(FIND("F",Tasks[[#This Row],[_Pred2Text]]&amp;"F"),FIND("S",Tasks[[#This Row],[_Pred2Text]]&amp;"S"),FIND("+",Tasks[[#This Row],[_Pred2Text]]&amp;"+"),FIND("-",Tasks[[#This Row],[_Pred2Text]]&amp;"-"))-1)),""))</f>
        <v/>
      </c>
      <c r="CT1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0" s="42" t="str">
        <f aca="false">IF(Tasks[[#This Row],[_Pred2Text]]="","",TRIM(MID(SUBSTITUTE(SUBSTITUTE(SUBSTITUTE(UPPER(Tasks[[#This Row],[_Predecessors]]),";",",")," ",""),",",REPT(" ",99)),199,99)))</f>
        <v/>
      </c>
      <c r="CW110" s="42" t="str">
        <f aca="false">IF(Tasks[[#This Row],[_Pred3Text]]="","",IFERROR(VALUE(LEFT(Tasks[[#This Row],[_Pred3Text]],MIN(FIND("F",Tasks[[#This Row],[_Pred3Text]]&amp;"F"),FIND("S",Tasks[[#This Row],[_Pred3Text]]&amp;"S"),FIND("+",Tasks[[#This Row],[_Pred3Text]]&amp;"+"),FIND("-",Tasks[[#This Row],[_Pred3Text]]&amp;"-"))-1)),""))</f>
        <v/>
      </c>
      <c r="CX1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0" s="42" t="str">
        <f aca="false">IF(Tasks[[#This Row],[_Pred3Text]]="","",TRIM(MID(SUBSTITUTE(SUBSTITUTE(SUBSTITUTE(UPPER(Tasks[[#This Row],[_Predecessors]]),";",",")," ",""),",",REPT(" ",99)),298,99)))</f>
        <v/>
      </c>
      <c r="DA110" s="42" t="str">
        <f aca="false">IF(Tasks[[#This Row],[_Pred4Text]]="","",IFERROR(VALUE(LEFT(Tasks[[#This Row],[_Pred4Text]],MIN(FIND("F",Tasks[[#This Row],[_Pred4Text]]&amp;"F"),FIND("S",Tasks[[#This Row],[_Pred4Text]]&amp;"S"),FIND("+",Tasks[[#This Row],[_Pred4Text]]&amp;"+"),FIND("-",Tasks[[#This Row],[_Pred4Text]]&amp;"-"))-1)),""))</f>
        <v/>
      </c>
      <c r="DB1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0" s="42" t="str">
        <f aca="false">IF(OR(Tasks[[#This Row],[Task Name]]="",Tasks[[#This Row],[_Resources]]=""),"",TRIM(MID(SUBSTITUTE(Tasks[[#This Row],[_Resources]],",",REPT(" ",99)),1,99)))</f>
        <v/>
      </c>
      <c r="DE110" s="42" t="str">
        <f aca="false">IF(Tasks[[#This Row],[_Res1Text]]="","",TRIM(MID(SUBSTITUTE(Tasks[[#This Row],[_Resources]],",",REPT(" ",99)),100,99)))</f>
        <v/>
      </c>
      <c r="DF110" s="42" t="str">
        <f aca="false">IF(Tasks[[#This Row],[_Res2Text]]="","",TRIM(MID(SUBSTITUTE(Tasks[[#This Row],[_Resources]],",",REPT(" ",99)),199,99)))</f>
        <v/>
      </c>
      <c r="DG110" s="42" t="str">
        <f aca="false">IF(Tasks[[#This Row],[_Res3Text]]="","",TRIM(MID(SUBSTITUTE(Tasks[[#This Row],[_Resources]],",",REPT(" ",99)),298,99)))</f>
        <v/>
      </c>
      <c r="DH110" s="42" t="n">
        <f aca="false">IF(Tasks[[#This Row],[_Res1Text]]="",0,IFERROR(MATCH(TRIM(LEFT(Tasks[[#This Row],[_Res1Text]],FIND("[",Tasks[[#This Row],[_Res1Text]]&amp;"[")-1)),res_Name,0),IFERROR(MATCH(TRIM(LEFT(Tasks[[#This Row],[_Res1Text]],FIND("[",Tasks[[#This Row],[_Res1Text]]&amp;"[")-1)),res_Initials,0),0)))</f>
        <v>0</v>
      </c>
      <c r="DI110" s="42" t="n">
        <f aca="false">IF(Tasks[[#This Row],[_Res2Text]]="",0,IFERROR(MATCH(TRIM(LEFT(Tasks[[#This Row],[_Res2Text]],FIND("[",Tasks[[#This Row],[_Res2Text]]&amp;"[")-1)),res_Name,0),IFERROR(MATCH(TRIM(LEFT(Tasks[[#This Row],[_Res2Text]],FIND("[",Tasks[[#This Row],[_Res2Text]]&amp;"[")-1)),res_Initials,0),0)))</f>
        <v>0</v>
      </c>
      <c r="DJ110" s="42" t="n">
        <f aca="false">IF(Tasks[[#This Row],[_Res3Text]]="",0,IFERROR(MATCH(TRIM(LEFT(Tasks[[#This Row],[_Res3Text]],FIND("[",Tasks[[#This Row],[_Res3Text]]&amp;"[")-1)),res_Name,0),IFERROR(MATCH(TRIM(LEFT(Tasks[[#This Row],[_Res3Text]],FIND("[",Tasks[[#This Row],[_Res3Text]]&amp;"[")-1)),res_Initials,0),0)))</f>
        <v>0</v>
      </c>
      <c r="DK110" s="42" t="n">
        <f aca="false">IF(Tasks[[#This Row],[_Res4Text]]="",0,IFERROR(MATCH(TRIM(LEFT(Tasks[[#This Row],[_Res4Text]],FIND("[",Tasks[[#This Row],[_Res4Text]]&amp;"[")-1)),res_Name,0),IFERROR(MATCH(TRIM(LEFT(Tasks[[#This Row],[_Res4Text]],FIND("[",Tasks[[#This Row],[_Res4Text]]&amp;"[")-1)),res_Initials,0),0)))</f>
        <v>0</v>
      </c>
      <c r="DL110" s="42" t="str">
        <f aca="false">IF(Tasks[[#This Row],[_Res1Text]]="","",IF(Tasks[[#This Row],[_Res1Row]]&gt;0,INDEX(res_Name,Tasks[[#This Row],[_Res1Row]]),TRIM(LEFT(Tasks[[#This Row],[_Res1Text]],FIND("[",Tasks[[#This Row],[_Res1Text]]&amp;"[")-1))))</f>
        <v/>
      </c>
      <c r="DM1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0" s="42" t="n">
        <f aca="false">IF(NOT(Tasks[[#This Row],[_IsLeaf]]=1),0,(Tasks[[#This Row],[_Resource1]]&lt;&gt;"")+(Tasks[[#This Row],[_Res2]]&lt;&gt;"")+(Tasks[[#This Row],[_Res3]]&lt;&gt;"")+(Tasks[[#This Row],[_Res4]]&lt;&gt;""))</f>
        <v>0</v>
      </c>
      <c r="DO110" s="42" t="str">
        <f aca="false">IF(Tasks[[#This Row],[_Res2Text]]="","",IF(Tasks[[#This Row],[_Res2Row]]&gt;0,INDEX(res_Name,Tasks[[#This Row],[_Res2Row]]),TRIM(LEFT(Tasks[[#This Row],[_Res2Text]],FIND("[",Tasks[[#This Row],[_Res2Text]]&amp;"[")-1))))</f>
        <v/>
      </c>
      <c r="DP1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0" s="42" t="n">
        <f aca="false">IF(OR(NOT(Tasks[[#This Row],[_IsLeaf]]=1),Tasks[[#This Row],[_Res2Row]]=0),0,N(Tasks[[#This Row],[_Days]])*HoursPerDay*IF(Tasks[[#This Row],[_Res2Units]]="",DefaultUnits,Tasks[[#This Row],[_Res2Units]]))</f>
        <v>0</v>
      </c>
      <c r="DR110" s="42" t="n">
        <f aca="false">IF(AND(AND(Tasks[[#This Row],[_IsLeaf]]=1,Tasks[[#This Row],[_LeafTotalWork]]&gt;0),Tasks[[#This Row],[_Res2Work]]&gt;0),Tasks[[#This Row],[_Res2Work]]/(Tasks[[#This Row],[_FinishWorkday]]-Tasks[[#This Row],[_StartWorkday]]+1),0)</f>
        <v>0</v>
      </c>
      <c r="DS110" s="42" t="n">
        <f aca="false">Tasks[[#This Row],[_Res2WorkPerWD]]*MAX(0,Tasks[[#This Row],[_StartWorkday]]-1)</f>
        <v>0</v>
      </c>
      <c r="DT110" s="42" t="n">
        <f aca="false">Tasks[[#This Row],[_Res2Work]]*Tasks[[#This Row],[_LeafProgress]]</f>
        <v>0</v>
      </c>
      <c r="DU110" s="42" t="str">
        <f aca="false">IF(Tasks[[#This Row],[_Res3Text]]="","",IF(Tasks[[#This Row],[_Res3Row]]&gt;0,INDEX(res_Name,Tasks[[#This Row],[_Res3Row]]),TRIM(LEFT(Tasks[[#This Row],[_Res3Text]],FIND("[",Tasks[[#This Row],[_Res3Text]]&amp;"[")-1))))</f>
        <v/>
      </c>
      <c r="DV1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0" s="42" t="n">
        <f aca="false">IF(OR(NOT(Tasks[[#This Row],[_IsLeaf]]=1),Tasks[[#This Row],[_Res3Row]]=0),0,N(Tasks[[#This Row],[_Days]])*HoursPerDay*IF(Tasks[[#This Row],[_Res3Units]]="",DefaultUnits,Tasks[[#This Row],[_Res3Units]]))</f>
        <v>0</v>
      </c>
      <c r="DX110" s="42" t="n">
        <f aca="false">IF(AND(AND(Tasks[[#This Row],[_IsLeaf]]=1,Tasks[[#This Row],[_LeafTotalWork]]&gt;0),Tasks[[#This Row],[_Res3Work]]&gt;0),Tasks[[#This Row],[_Res3Work]]/(Tasks[[#This Row],[_FinishWorkday]]-Tasks[[#This Row],[_StartWorkday]]+1),0)</f>
        <v>0</v>
      </c>
      <c r="DY110" s="42" t="n">
        <f aca="false">Tasks[[#This Row],[_Res3WorkPerWD]]*MAX(0,Tasks[[#This Row],[_StartWorkday]]-1)</f>
        <v>0</v>
      </c>
      <c r="DZ110" s="42" t="n">
        <f aca="false">Tasks[[#This Row],[_Res3Work]]*Tasks[[#This Row],[_LeafProgress]]</f>
        <v>0</v>
      </c>
      <c r="EA110" s="42" t="str">
        <f aca="false">IF(Tasks[[#This Row],[_Res4Text]]="","",IF(Tasks[[#This Row],[_Res4Row]]&gt;0,INDEX(res_Name,Tasks[[#This Row],[_Res4Row]]),TRIM(LEFT(Tasks[[#This Row],[_Res4Text]],FIND("[",Tasks[[#This Row],[_Res4Text]]&amp;"[")-1))))</f>
        <v/>
      </c>
      <c r="EB1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0" s="42" t="n">
        <f aca="false">IF(OR(NOT(Tasks[[#This Row],[_IsLeaf]]=1),Tasks[[#This Row],[_Res4Row]]=0),0,N(Tasks[[#This Row],[_Days]])*HoursPerDay*IF(Tasks[[#This Row],[_Res4Units]]="",DefaultUnits,Tasks[[#This Row],[_Res4Units]]))</f>
        <v>0</v>
      </c>
      <c r="ED110" s="42" t="n">
        <f aca="false">IF(AND(AND(Tasks[[#This Row],[_IsLeaf]]=1,Tasks[[#This Row],[_LeafTotalWork]]&gt;0),Tasks[[#This Row],[_Res4Work]]&gt;0),Tasks[[#This Row],[_Res4Work]]/(Tasks[[#This Row],[_FinishWorkday]]-Tasks[[#This Row],[_StartWorkday]]+1),0)</f>
        <v>0</v>
      </c>
      <c r="EE110" s="42" t="n">
        <f aca="false">Tasks[[#This Row],[_Res4WorkPerWD]]*MAX(0,Tasks[[#This Row],[_StartWorkday]]-1)</f>
        <v>0</v>
      </c>
      <c r="EF110" s="42" t="n">
        <f aca="false">Tasks[[#This Row],[_Res4Work]]*Tasks[[#This Row],[_LeafProgress]]</f>
        <v>0</v>
      </c>
      <c r="EG110" s="42" t="n">
        <f aca="false">IF(ISNUMBER(Tasks[[#This Row],[% Complete]]),Tasks[[#This Row],[% Complete]],IF(Tasks[[#This Row],[Stage]]="",0,IFERROR(INDEX(stg_Pct,MATCH(Tasks[[#This Row],[Stage]],stg_Name,0)),0)))</f>
        <v>0</v>
      </c>
      <c r="EH110" s="42" t="n">
        <f aca="false">IF(NOT(Tasks[[#This Row],[_IsLeaf]]=1),0,IF(N(Tasks[[#This Row],[Actual Finish]])&gt;0,1,MIN(1,Tasks[[#This Row],[_Pct]])))</f>
        <v>0</v>
      </c>
      <c r="EI110" s="42" t="n">
        <f aca="false">IF(OR(NOT(Tasks[[#This Row],[_IsLeaf]]=1),Tasks[[#This Row],[_Res1Row]]=0),0,N(Tasks[[#This Row],[_Days]])*HoursPerDay*IF(Tasks[[#This Row],[_Units1]]="",DefaultUnits,Tasks[[#This Row],[_Units1]]))</f>
        <v>0</v>
      </c>
      <c r="EJ110" s="42" t="n">
        <f aca="false">Tasks[[#This Row],[_LeafWork]]+Tasks[[#This Row],[_Res2Work]]+Tasks[[#This Row],[_Res3Work]]+Tasks[[#This Row],[_Res4Work]]</f>
        <v>0</v>
      </c>
      <c r="EK1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0" s="42" t="n">
        <f aca="false">IF(NOT(Tasks[[#This Row],[_IsLeaf]]=1),0,MAX(_xlfn.MAXIFS(Tasks[_Row],Tasks[_Pred1UID],Tasks[[#This Row],[UID]]),_xlfn.MAXIFS(Tasks[_Row],Tasks[_Pred2UID],Tasks[[#This Row],[UID]]),_xlfn.MAXIFS(Tasks[_Row],Tasks[_Pred3UID],Tasks[[#This Row],[UID]]),_xlfn.MAXIFS(Tasks[_Row],Tasks[_Pred4UID],Tasks[[#This Row],[UID]])))</f>
        <v>0</v>
      </c>
      <c r="ET1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0" s="89" t="str">
        <f aca="false">IF(NOT(Tasks[[#This Row],[_IsLeaf]]=1),"",IF(N(Tasks[[#This Row],[_Days]])&lt;=0,Tasks[[#This Row],[_LeafLateFinish]],WORKDAY.INTL(Tasks[[#This Row],[_LeafLateFinish]],-(Tasks[[#This Row],[_Days]]-1),WorkWeek,Holidays)))</f>
        <v/>
      </c>
      <c r="EW1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0" s="88" t="b">
        <f aca="false">AND(Tasks[[#This Row],[_IsLeaf]]=1,Tasks[[#This Row],[_LeafProgress]]&lt;1,N(Tasks[[#This Row],[_LeafTotalSlack]])&lt;=CriticalSlackDays)</f>
        <v>0</v>
      </c>
      <c r="EY110" s="42" t="n">
        <f aca="false">IF(AND(Tasks[[#This Row],[_IsLeaf]]=1,Tasks[[#This Row],[_ConstraintCode]]=1,Tasks[[#This Row],[Mode]]&lt;&gt;"Manual",N(Tasks[[#This Row],[Actual Start]])=0),MAX(0,N(Tasks[[#This Row],[Free Slack]])),0)</f>
        <v>0</v>
      </c>
      <c r="EZ110" s="89" t="str">
        <f aca="false">IF(NOT(Tasks[[#This Row],[_IsLeaf]]=1),"",IF(Tasks[[#This Row],[_AlapShift]]=0,Tasks[[#This Row],[_LeafCalcStart]],WORKDAY.INTL(Tasks[[#This Row],[_LeafCalcStart]],Tasks[[#This Row],[_AlapShift]],WorkWeek,Holidays)))</f>
        <v/>
      </c>
      <c r="FA110" s="89" t="str">
        <f aca="false">IF(NOT(Tasks[[#This Row],[_IsLeaf]]=1),"",IF(Tasks[[#This Row],[_AlapShift]]=0,Tasks[[#This Row],[_LeafCalcFinish]],WORKDAY.INTL(Tasks[[#This Row],[_LeafCalcFinish]],Tasks[[#This Row],[_AlapShift]],WorkWeek,Holidays)))</f>
        <v/>
      </c>
      <c r="FB110" s="89" t="str">
        <f aca="false">IF(NOT(Tasks[[#This Row],[_IsLeaf]]=1),"",IF(Tasks[[#This Row],[_AlapShift]]=0,Tasks[[#This Row],[_LeafFcstStart]],WORKDAY.INTL(Tasks[[#This Row],[_LeafFcstStart]],Tasks[[#This Row],[_AlapShift]],WorkWeek,Holidays)))</f>
        <v/>
      </c>
      <c r="FC110" s="89" t="str">
        <f aca="false">IF(NOT(Tasks[[#This Row],[_IsLeaf]]=1),"",IF(Tasks[[#This Row],[_AlapShift]]=0,Tasks[[#This Row],[_LeafFcstFinish]],WORKDAY.INTL(Tasks[[#This Row],[_LeafFcstFinish]],Tasks[[#This Row],[_AlapShift]],WorkWeek,Holidays)))</f>
        <v/>
      </c>
      <c r="FD110" s="89" t="str">
        <f aca="false">IF(Tasks[[#This Row],[Task Name]]="","",IF(Tasks[[#This Row],[_IsSummary]],MIN(INDEX(Tasks[_ShownCalcStart],Tasks[[#This Row],[_Row]]+1):INDEX(Tasks[_ShownCalcStart],Tasks[[#This Row],[_Row]]+Tasks[[#This Row],[_Descendants]])),Tasks[[#This Row],[_ShownCalcStart]]))</f>
        <v/>
      </c>
      <c r="FE110" s="89" t="str">
        <f aca="false">IF(Tasks[[#This Row],[Task Name]]="","",IF(Tasks[[#This Row],[_IsSummary]],MAX(INDEX(Tasks[_ShownCalcFinish],Tasks[[#This Row],[_Row]]+1):INDEX(Tasks[_ShownCalcFinish],Tasks[[#This Row],[_Row]]+Tasks[[#This Row],[_Descendants]])),Tasks[[#This Row],[_ShownCalcFinish]]))</f>
        <v/>
      </c>
      <c r="FF1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0" s="42" t="n">
        <f aca="false">IF(AND(Tasks[[#This Row],[_IsLeaf]]=1,Tasks[[#This Row],[_LeafTotalWork]]&gt;0),NETWORKDAYS.INTL(ProjectStart,Tasks[[#This Row],[_ShownFcstStart]],WorkWeek,Holidays),0)</f>
        <v>0</v>
      </c>
      <c r="FS110" s="42" t="n">
        <f aca="false">IF(AND(Tasks[[#This Row],[_IsLeaf]]=1,Tasks[[#This Row],[_LeafTotalWork]]&gt;0),MAX(Tasks[[#This Row],[_StartWorkday]],NETWORKDAYS.INTL(ProjectStart,Tasks[[#This Row],[_ShownFcstFinish]],WorkWeek,Holidays)),0)</f>
        <v>0</v>
      </c>
      <c r="FT110" s="42" t="n">
        <f aca="false">IF(AND(Tasks[[#This Row],[_IsLeaf]]=1,Tasks[[#This Row],[_LeafTotalWork]]&gt;0),Tasks[[#This Row],[_LeafWork]]/(Tasks[[#This Row],[_FinishWorkday]]-Tasks[[#This Row],[_StartWorkday]]+1),0)</f>
        <v>0</v>
      </c>
      <c r="FU110" s="42" t="n">
        <f aca="false">Tasks[[#This Row],[_WorkPerWorkday]]*(Tasks[[#This Row],[_StartWorkday]]-1)</f>
        <v>-0</v>
      </c>
      <c r="FV110" s="42" t="n">
        <f aca="false">IF(Tasks[[#This Row],[_IsLeaf]]=1,MAX(N(Tasks[[#This Row],[_Days]]),0.1),0)</f>
        <v>0</v>
      </c>
      <c r="FW110" s="42" t="n">
        <f aca="false">Tasks[[#This Row],[_WeightDur]]*Tasks[[#This Row],[_LeafProgress]]</f>
        <v>0</v>
      </c>
      <c r="FX110" s="42" t="n">
        <f aca="false">Tasks[[#This Row],[_WeightDur]]*Tasks[[#This Row],[_PlannedPct]]</f>
        <v>0</v>
      </c>
      <c r="FY1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0" s="42" t="str">
        <f aca="false">IF(AND(Tasks[[#This Row],[_IsLeaf]]=1,N(Tasks[[#This Row],[_Days]])=0,Tasks[[#This Row],[_LeafProgress]]&lt;1),Tasks[[#This Row],[_ShownFcstFinish]]+Tasks[[#This Row],[_Row]]/100000,"")</f>
        <v/>
      </c>
      <c r="GA1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0" s="42" t="str">
        <f aca="false">IF(Tasks[[#This Row],[Task Name]]="","",LEFT(Tasks[[#This Row],[WBS]],FIND(".",Tasks[[#This Row],[WBS]]&amp;".")-1))</f>
        <v/>
      </c>
      <c r="GC110" s="42" t="str">
        <f aca="false">IF(AND(Tasks[[#This Row],[Task Name]]&lt;&gt;"",Tasks[[#This Row],[_Level]]=1),Tasks[[#This Row],[_Row]],"")</f>
        <v/>
      </c>
      <c r="GD110" s="42" t="str">
        <f aca="false">IF(AND(Tasks[[#This Row],[_IsLeaf]]=1,N(Tasks[[#This Row],[_Days]])=0),Tasks[[#This Row],[Planned Finish]]+Tasks[[#This Row],[_Row]]/100000,"")</f>
        <v/>
      </c>
      <c r="GE110" s="42" t="str">
        <f aca="false">IF(AND(Tasks[[#This Row],[_IsLeaf]]=1,Tasks[[#This Row],[_LeafProgress]]&lt;1,OR(N(Tasks[[#This Row],[Finish Var]])&gt;0,Tasks[[#This Row],[Status]]="Late Start")),MAX(0,Tasks[[#This Row],[Finish Var]])+1-Tasks[[#This Row],[_Row]]/1000000,"")</f>
        <v/>
      </c>
      <c r="GF110" s="42" t="str">
        <f aca="false">IF(AND(Tasks[[#This Row],[_IsLeaf]]=1,N(Tasks[[#This Row],[Actual Start]])=0,Tasks[[#This Row],[_ShownFcstStart]]&gt;=StatusDate,Tasks[[#This Row],[_ShownFcstStart]]&lt;=LookaheadEnd),Tasks[[#This Row],[_ShownFcstStart]]+Tasks[[#This Row],[_Row]]/100000,"")</f>
        <v/>
      </c>
      <c r="GG110" s="42" t="str">
        <f aca="false">IF(AND(Tasks[[#This Row],[_IsLeaf]]=1,Tasks[[#This Row],[_LeafProgress]]&lt;1,Tasks[[#This Row],[_ShownFcstFinish]]&gt;=StatusDate,Tasks[[#This Row],[_ShownFcstFinish]]&lt;=LookaheadEnd),Tasks[[#This Row],[_ShownFcstFinish]]+Tasks[[#This Row],[_Row]]/100000,"")</f>
        <v/>
      </c>
      <c r="GH110" s="42" t="str">
        <f aca="false">IF(Tasks[[#This Row],[_LeafCritical]],Tasks[[#This Row],[_ShownFcstStart]]+Tasks[[#This Row],[_Row]]/100000,"")</f>
        <v/>
      </c>
      <c r="GI110" s="42" t="n">
        <f aca="false">Tasks[[#This Row],[_LeafWork]]*Tasks[[#This Row],[_LeafProgress]]</f>
        <v>0</v>
      </c>
      <c r="GJ110" s="89" t="str">
        <f aca="false">IF(AND(Tasks[[#This Row],[_IsLeaf]]=1,Tasks[[#This Row],[_LeafProgress]]&gt;=1),IF(N(Tasks[[#This Row],[Actual Finish]])&gt;0,Tasks[[#This Row],[Actual Finish]],Tasks[[#This Row],[_ShownFcstFinish]]),"")</f>
        <v/>
      </c>
      <c r="GK110" s="42" t="n">
        <f aca="false">IF(Tasks[[#This Row],[_IsLeaf]]=1,N(Tasks[[#This Row],[Story Points]]),0)</f>
        <v>0</v>
      </c>
      <c r="GL110" s="42" t="str">
        <f aca="false">""</f>
        <v/>
      </c>
      <c r="GM110" s="88" t="b">
        <f aca="false">IF(Tasks[[#This Row],[Task Name]]="",FALSE(),AND(Tasks[[#This Row],[_IsLeaf]]=1,N(Tasks[[#This Row],[_Days]])=0))</f>
        <v>0</v>
      </c>
      <c r="GN110" s="89" t="n">
        <f aca="false">IF(Tasks[[#This Row],[Task Name]]="",0,IF(AND(Tasks[[#This Row],[_IsLeaf]]=1,NOT(Tasks[[#This Row],[_IsMilestone]]),N(Tasks[[#This Row],[Progress]])&gt;0),Tasks[[#This Row],[Start]],0))</f>
        <v>0</v>
      </c>
      <c r="GO110" s="89" t="n">
        <f aca="false">IF(Tasks[[#This Row],[_DoneFrom]]=0,0,IF(Tasks[[#This Row],[Progress]]&gt;=1,Tasks[[#This Row],[Finish]],MAX(Tasks[[#This Row],[_DoneFrom]],Tasks[[#This Row],[Start]]+ROUND((Tasks[[#This Row],[Finish]]-Tasks[[#This Row],[Start]]+1)*Tasks[[#This Row],[Progress]],0)-1)))</f>
        <v>0</v>
      </c>
      <c r="GP110" s="89" t="n">
        <f aca="false">IF(Tasks[[#This Row],[Task Name]]="",0,IF(OR(NOT(Tasks[[#This Row],[_IsLeaf]]=1),Tasks[[#This Row],[_IsMilestone]],N(Tasks[[#This Row],[Progress]])&gt;=1),0,IF(Tasks[[#This Row],[_DoneTo]]&gt;0,Tasks[[#This Row],[_DoneTo]]+1,Tasks[[#This Row],[Start]])))</f>
        <v>0</v>
      </c>
      <c r="GQ110" s="89" t="n">
        <f aca="false">IF(Tasks[[#This Row],[_RemFrom]]=0,0,Tasks[[#This Row],[Finish]])</f>
        <v>0</v>
      </c>
      <c r="GR110" s="88" t="b">
        <f aca="false">IF(Tasks[[#This Row],[Task Name]]="",FALSE(),OR(NOT(BaselineSet),N(Tasks[[#This Row],[Baseline Start]])&gt;0))</f>
        <v>0</v>
      </c>
      <c r="GS1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0" s="90" t="str">
        <f aca="false">IF(Tasks[[#This Row],[_IsLeaf]]=1,Tasks[[#This Row],[_Row]],"")</f>
        <v/>
      </c>
      <c r="GW110" s="90" t="str">
        <f aca="false">IFERROR(INDEX(Tasks[UID],SMALL(Tasks[_PickKey],Tasks[[#This Row],[_Row]]))&amp;" "&amp;INDEX(Tasks[Task Name],SMALL(Tasks[_PickKey],Tasks[[#This Row],[_Row]])),"")</f>
        <v/>
      </c>
      <c r="GX110" s="42" t="str">
        <f aca="false">IF(Tasks[[#This Row],[Task Name]]="","",IF(Tasks[[#This Row],[_IsSummary]],NETWORKDAYS.INTL(Tasks[[#This Row],[Start]],Tasks[[#This Row],[Finish]],WorkWeek,Holidays),N(Tasks[[#This Row],[_Days]])))</f>
        <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3"/>
      <c r="U111" s="23"/>
      <c r="V111" s="83"/>
      <c r="W111" s="23"/>
      <c r="X111" s="83"/>
      <c r="Y111" s="23"/>
      <c r="Z111" s="83"/>
      <c r="AA111" s="23"/>
      <c r="AB111" s="23"/>
      <c r="AC111" s="7"/>
      <c r="AD111" s="7"/>
      <c r="AE111" s="62" t="str">
        <f aca="false">IF(Tasks[[#This Row],[Task Name]]="","",IF(Tasks[[#This Row],[_IsSummary]],MIN(INDEX(Tasks[_ShownFcstStart],Tasks[[#This Row],[_Row]]+1):INDEX(Tasks[_ShownFcstStart],Tasks[[#This Row],[_Row]]+Tasks[[#This Row],[_Descendants]])),Tasks[[#This Row],[_ShownFcstStart]]))</f>
        <v/>
      </c>
      <c r="AF111" s="62"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1" s="7"/>
      <c r="AK111" s="22"/>
      <c r="AL111" s="23"/>
      <c r="AM111" s="7"/>
      <c r="AN111" s="46"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2" t="str">
        <f aca="false">IF(Tasks[[#This Row],[Task Name]]="","",IF(N(Tasks[[#This Row],[Baseline Start]])&gt;0,Tasks[[#This Row],[Baseline Start]],Tasks[[#This Row],[_CalcStart]]))</f>
        <v/>
      </c>
      <c r="AR111" s="62" t="str">
        <f aca="false">IF(Tasks[[#This Row],[Task Name]]="","",IF(N(Tasks[[#This Row],[Baseline Finish]])&gt;0,Tasks[[#This Row],[Baseline Finish]],Tasks[[#This Row],[_CalcFinish]]))</f>
        <v/>
      </c>
      <c r="AS111" s="46" t="str">
        <f aca="false">IF(Tasks[[#This Row],[Task Name]]="","",IF(Tasks[[#This Row],[Start]]&gt;=Tasks[[#This Row],[Planned Start]],NETWORKDAYS.INTL(Tasks[[#This Row],[Planned Start]],Tasks[[#This Row],[Start]],WorkWeek,Holidays)-1,1-NETWORKDAYS.INTL(Tasks[[#This Row],[Start]],Tasks[[#This Row],[Planned Start]],WorkWeek,Holidays)))</f>
        <v/>
      </c>
      <c r="AT111" s="62" t="str">
        <f aca="false">IF(Tasks[[#This Row],[Task Name]]="","",IF(Tasks[[#This Row],[_IsSummary]],MIN(INDEX(Tasks[_LeafLateStart],Tasks[[#This Row],[_Row]]+1):INDEX(Tasks[_LeafLateStart],Tasks[[#This Row],[_Row]]+Tasks[[#This Row],[_Descendants]])),Tasks[[#This Row],[_LeafLateStart]]))</f>
        <v/>
      </c>
      <c r="AU111" s="62" t="str">
        <f aca="false">IF(Tasks[[#This Row],[Task Name]]="","",IF(Tasks[[#This Row],[_IsSummary]],MAX(INDEX(Tasks[_LeafLateFinish],Tasks[[#This Row],[_Row]]+1):INDEX(Tasks[_LeafLateFinish],Tasks[[#This Row],[_Row]]+Tasks[[#This Row],[_Descendants]])),Tasks[[#This Row],[_LeafLateFinish]]))</f>
        <v/>
      </c>
      <c r="AV111" s="46"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4"/>
      <c r="BA11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5"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6"/>
      <c r="BJ111" s="22"/>
      <c r="BK111" s="46" t="str">
        <f aca="false">IF(OR(Tasks[[#This Row],[Task Name]]="",Tasks[[#This Row],[Baseline Duration]]=""),"",Tasks[[#This Row],[_SpanDays]]-N(Tasks[[#This Row],[Baseline Duration]]))</f>
        <v/>
      </c>
      <c r="BL111" s="85" t="str">
        <f aca="false">IF(OR(Tasks[[#This Row],[Task Name]]="",Tasks[[#This Row],[Baseline Work]]=""),"",Tasks[[#This Row],[Work]]-N(Tasks[[#This Row],[Baseline Work]]))</f>
        <v/>
      </c>
      <c r="BM111" s="62" t="str">
        <f aca="false">IF(Tasks[[#This Row],[Task Name]]="","",IF(OR(TakeBaseline="Yes",N(Tasks[[#This Row],[Baseline Start]])=0),Tasks[[#This Row],[Start]],Tasks[[#This Row],[Baseline Start]]))</f>
        <v/>
      </c>
      <c r="BN111" s="62"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5" t="str">
        <f aca="false">IF(Tasks[[#This Row],[Task Name]]="","",IF(OR(TakeBaseline="Yes",N(Tasks[[#This Row],[Baseline Work]])=0),Tasks[[#This Row],[Work]],Tasks[[#This Row],[Baseline Work]]))</f>
        <v/>
      </c>
      <c r="BQ111" s="7"/>
      <c r="BR111" s="7"/>
      <c r="BS111" s="22"/>
      <c r="BT111" s="87"/>
      <c r="BU111" s="42" t="str">
        <f aca="false">IF(Tasks[[#This Row],[Task Name]]="","",MAX(1,N(Tasks[[#This Row],[Level]])))</f>
        <v/>
      </c>
      <c r="BV111" s="42" t="n">
        <f aca="false">ROW()-ROW(Tasks[[#Headers],[ID]])</f>
        <v>106</v>
      </c>
      <c r="BW111" s="42" t="n">
        <f aca="false">IF(OR(Tasks[[#This Row],[Task Name]]="",Tasks[[#This Row],[_Level]]&lt;=1),0,IFERROR(LOOKUP(2,1/(Tasks[[#Headers],[_Level]]:Tasks[[#This Row],[_Level]]=Tasks[[#This Row],[_Level]]-1),ROW(Tasks[[#Headers],[_Level]]:Tasks[[#This Row],[_Level]])),0))</f>
        <v>0</v>
      </c>
      <c r="BX111" s="42" t="n">
        <f aca="false">IFERROR(N(INDEX(Tasks[_Level],Tasks[[#This Row],[_Row]]+1)),0)</f>
        <v>0</v>
      </c>
      <c r="BY111" s="88" t="b">
        <f aca="false">AND(Tasks[[#This Row],[Task Name]]&lt;&gt;"",Tasks[[#This Row],[_NextLevel]]&gt;Tasks[[#This Row],[_Level]])</f>
        <v>0</v>
      </c>
      <c r="BZ111" s="42" t="n">
        <f aca="false">IF(Tasks[[#This Row],[_IsSummary]],COUNTIF(Tasks[WBS],Tasks[[#This Row],[WBS]]&amp;".*"),0)</f>
        <v>0</v>
      </c>
      <c r="CA111" s="42" t="n">
        <f aca="false">IF(AND(Tasks[[#This Row],[Task Name]]&lt;&gt;"",NOT(Tasks[[#This Row],[_IsSummary]])),1,0)</f>
        <v>0</v>
      </c>
      <c r="CB111" s="42" t="n">
        <f aca="false">IF(N(Tasks[[#This Row],[_Pred1UID]])=0,0,IFERROR(MATCH(Tasks[[#This Row],[_Pred1UID]],Tasks[UID],0),-1))</f>
        <v>0</v>
      </c>
      <c r="CC111" s="42" t="n">
        <f aca="false">IF(N(Tasks[[#This Row],[_Pred2UID]])=0,0,IFERROR(MATCH(Tasks[[#This Row],[_Pred2UID]],Tasks[UID],0),-1))</f>
        <v>0</v>
      </c>
      <c r="CD111" s="42" t="n">
        <f aca="false">IF(N(Tasks[[#This Row],[_Pred3UID]])=0,0,IFERROR(MATCH(Tasks[[#This Row],[_Pred3UID]],Tasks[UID],0),-1))</f>
        <v>0</v>
      </c>
      <c r="CE111" s="42" t="n">
        <f aca="false">IF(N(Tasks[[#This Row],[_Pred4UID]])=0,0,IFERROR(MATCH(Tasks[[#This Row],[_Pred4UID]],Tasks[UID],0),-1))</f>
        <v>0</v>
      </c>
      <c r="CF11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1" s="89" t="n">
        <f aca="false">IF(OR(Tasks[[#This Row],[_ConstraintCode]]=2,Tasks[[#This Row],[_ConstraintCode]]=3,Tasks[[#This Row],[_ConstraintCode]]=4,Tasks[[#This Row],[_ConstraintCode]]=6),Tasks[[#This Row],[_ConstraintStart]],0)</f>
        <v>0</v>
      </c>
      <c r="CI111" s="89" t="n">
        <f aca="false">IF(OR(Tasks[[#This Row],[_ConstraintCode]]=2,Tasks[[#This Row],[_ConstraintCode]]=3,Tasks[[#This Row],[_ConstraintCode]]=5,Tasks[[#This Row],[_ConstraintCode]]=7),Tasks[[#This Row],[_ConstraintStart]],2958465)</f>
        <v>2958465</v>
      </c>
      <c r="CJ11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1" s="89" t="str">
        <f aca="false">IF(NOT(Tasks[[#This Row],[_IsLeaf]]=1),"",IF(N(Tasks[[#This Row],[_Days]])&lt;=0,Tasks[[#This Row],[_LeafCalcStart]],WORKDAY.INTL(Tasks[[#This Row],[_LeafCalcStart]],Tasks[[#This Row],[_Days]]-1,WorkWeek,Holidays)))</f>
        <v/>
      </c>
      <c r="CL11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1" s="42" t="str">
        <f aca="false">IF(Tasks[[#This Row],[_Predecessors]]="","",TRIM(MID(SUBSTITUTE(SUBSTITUTE(SUBSTITUTE(UPPER(Tasks[[#This Row],[_Predecessors]]),";",",")," ",""),",",REPT(" ",99)),1,99)))</f>
        <v/>
      </c>
      <c r="CO111" s="42" t="str">
        <f aca="false">IF(Tasks[[#This Row],[_Pred1Text]]="","",IFERROR(VALUE(LEFT(Tasks[[#This Row],[_Pred1Text]],MIN(FIND("F",Tasks[[#This Row],[_Pred1Text]]&amp;"F"),FIND("S",Tasks[[#This Row],[_Pred1Text]]&amp;"S"),FIND("+",Tasks[[#This Row],[_Pred1Text]]&amp;"+"),FIND("-",Tasks[[#This Row],[_Pred1Text]]&amp;"-"))-1)),""))</f>
        <v/>
      </c>
      <c r="CP1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1" s="42" t="str">
        <f aca="false">IF(Tasks[[#This Row],[_Pred1Text]]="","",TRIM(MID(SUBSTITUTE(SUBSTITUTE(SUBSTITUTE(UPPER(Tasks[[#This Row],[_Predecessors]]),";",",")," ",""),",",REPT(" ",99)),100,99)))</f>
        <v/>
      </c>
      <c r="CS111" s="42" t="str">
        <f aca="false">IF(Tasks[[#This Row],[_Pred2Text]]="","",IFERROR(VALUE(LEFT(Tasks[[#This Row],[_Pred2Text]],MIN(FIND("F",Tasks[[#This Row],[_Pred2Text]]&amp;"F"),FIND("S",Tasks[[#This Row],[_Pred2Text]]&amp;"S"),FIND("+",Tasks[[#This Row],[_Pred2Text]]&amp;"+"),FIND("-",Tasks[[#This Row],[_Pred2Text]]&amp;"-"))-1)),""))</f>
        <v/>
      </c>
      <c r="CT1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1" s="42" t="str">
        <f aca="false">IF(Tasks[[#This Row],[_Pred2Text]]="","",TRIM(MID(SUBSTITUTE(SUBSTITUTE(SUBSTITUTE(UPPER(Tasks[[#This Row],[_Predecessors]]),";",",")," ",""),",",REPT(" ",99)),199,99)))</f>
        <v/>
      </c>
      <c r="CW111" s="42" t="str">
        <f aca="false">IF(Tasks[[#This Row],[_Pred3Text]]="","",IFERROR(VALUE(LEFT(Tasks[[#This Row],[_Pred3Text]],MIN(FIND("F",Tasks[[#This Row],[_Pred3Text]]&amp;"F"),FIND("S",Tasks[[#This Row],[_Pred3Text]]&amp;"S"),FIND("+",Tasks[[#This Row],[_Pred3Text]]&amp;"+"),FIND("-",Tasks[[#This Row],[_Pred3Text]]&amp;"-"))-1)),""))</f>
        <v/>
      </c>
      <c r="CX1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1" s="42" t="str">
        <f aca="false">IF(Tasks[[#This Row],[_Pred3Text]]="","",TRIM(MID(SUBSTITUTE(SUBSTITUTE(SUBSTITUTE(UPPER(Tasks[[#This Row],[_Predecessors]]),";",",")," ",""),",",REPT(" ",99)),298,99)))</f>
        <v/>
      </c>
      <c r="DA111" s="42" t="str">
        <f aca="false">IF(Tasks[[#This Row],[_Pred4Text]]="","",IFERROR(VALUE(LEFT(Tasks[[#This Row],[_Pred4Text]],MIN(FIND("F",Tasks[[#This Row],[_Pred4Text]]&amp;"F"),FIND("S",Tasks[[#This Row],[_Pred4Text]]&amp;"S"),FIND("+",Tasks[[#This Row],[_Pred4Text]]&amp;"+"),FIND("-",Tasks[[#This Row],[_Pred4Text]]&amp;"-"))-1)),""))</f>
        <v/>
      </c>
      <c r="DB1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1" s="42" t="str">
        <f aca="false">IF(OR(Tasks[[#This Row],[Task Name]]="",Tasks[[#This Row],[_Resources]]=""),"",TRIM(MID(SUBSTITUTE(Tasks[[#This Row],[_Resources]],",",REPT(" ",99)),1,99)))</f>
        <v/>
      </c>
      <c r="DE111" s="42" t="str">
        <f aca="false">IF(Tasks[[#This Row],[_Res1Text]]="","",TRIM(MID(SUBSTITUTE(Tasks[[#This Row],[_Resources]],",",REPT(" ",99)),100,99)))</f>
        <v/>
      </c>
      <c r="DF111" s="42" t="str">
        <f aca="false">IF(Tasks[[#This Row],[_Res2Text]]="","",TRIM(MID(SUBSTITUTE(Tasks[[#This Row],[_Resources]],",",REPT(" ",99)),199,99)))</f>
        <v/>
      </c>
      <c r="DG111" s="42" t="str">
        <f aca="false">IF(Tasks[[#This Row],[_Res3Text]]="","",TRIM(MID(SUBSTITUTE(Tasks[[#This Row],[_Resources]],",",REPT(" ",99)),298,99)))</f>
        <v/>
      </c>
      <c r="DH111" s="42" t="n">
        <f aca="false">IF(Tasks[[#This Row],[_Res1Text]]="",0,IFERROR(MATCH(TRIM(LEFT(Tasks[[#This Row],[_Res1Text]],FIND("[",Tasks[[#This Row],[_Res1Text]]&amp;"[")-1)),res_Name,0),IFERROR(MATCH(TRIM(LEFT(Tasks[[#This Row],[_Res1Text]],FIND("[",Tasks[[#This Row],[_Res1Text]]&amp;"[")-1)),res_Initials,0),0)))</f>
        <v>0</v>
      </c>
      <c r="DI111" s="42" t="n">
        <f aca="false">IF(Tasks[[#This Row],[_Res2Text]]="",0,IFERROR(MATCH(TRIM(LEFT(Tasks[[#This Row],[_Res2Text]],FIND("[",Tasks[[#This Row],[_Res2Text]]&amp;"[")-1)),res_Name,0),IFERROR(MATCH(TRIM(LEFT(Tasks[[#This Row],[_Res2Text]],FIND("[",Tasks[[#This Row],[_Res2Text]]&amp;"[")-1)),res_Initials,0),0)))</f>
        <v>0</v>
      </c>
      <c r="DJ111" s="42" t="n">
        <f aca="false">IF(Tasks[[#This Row],[_Res3Text]]="",0,IFERROR(MATCH(TRIM(LEFT(Tasks[[#This Row],[_Res3Text]],FIND("[",Tasks[[#This Row],[_Res3Text]]&amp;"[")-1)),res_Name,0),IFERROR(MATCH(TRIM(LEFT(Tasks[[#This Row],[_Res3Text]],FIND("[",Tasks[[#This Row],[_Res3Text]]&amp;"[")-1)),res_Initials,0),0)))</f>
        <v>0</v>
      </c>
      <c r="DK111" s="42" t="n">
        <f aca="false">IF(Tasks[[#This Row],[_Res4Text]]="",0,IFERROR(MATCH(TRIM(LEFT(Tasks[[#This Row],[_Res4Text]],FIND("[",Tasks[[#This Row],[_Res4Text]]&amp;"[")-1)),res_Name,0),IFERROR(MATCH(TRIM(LEFT(Tasks[[#This Row],[_Res4Text]],FIND("[",Tasks[[#This Row],[_Res4Text]]&amp;"[")-1)),res_Initials,0),0)))</f>
        <v>0</v>
      </c>
      <c r="DL111" s="42" t="str">
        <f aca="false">IF(Tasks[[#This Row],[_Res1Text]]="","",IF(Tasks[[#This Row],[_Res1Row]]&gt;0,INDEX(res_Name,Tasks[[#This Row],[_Res1Row]]),TRIM(LEFT(Tasks[[#This Row],[_Res1Text]],FIND("[",Tasks[[#This Row],[_Res1Text]]&amp;"[")-1))))</f>
        <v/>
      </c>
      <c r="DM1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1" s="42" t="n">
        <f aca="false">IF(NOT(Tasks[[#This Row],[_IsLeaf]]=1),0,(Tasks[[#This Row],[_Resource1]]&lt;&gt;"")+(Tasks[[#This Row],[_Res2]]&lt;&gt;"")+(Tasks[[#This Row],[_Res3]]&lt;&gt;"")+(Tasks[[#This Row],[_Res4]]&lt;&gt;""))</f>
        <v>0</v>
      </c>
      <c r="DO111" s="42" t="str">
        <f aca="false">IF(Tasks[[#This Row],[_Res2Text]]="","",IF(Tasks[[#This Row],[_Res2Row]]&gt;0,INDEX(res_Name,Tasks[[#This Row],[_Res2Row]]),TRIM(LEFT(Tasks[[#This Row],[_Res2Text]],FIND("[",Tasks[[#This Row],[_Res2Text]]&amp;"[")-1))))</f>
        <v/>
      </c>
      <c r="DP1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1" s="42" t="n">
        <f aca="false">IF(OR(NOT(Tasks[[#This Row],[_IsLeaf]]=1),Tasks[[#This Row],[_Res2Row]]=0),0,N(Tasks[[#This Row],[_Days]])*HoursPerDay*IF(Tasks[[#This Row],[_Res2Units]]="",DefaultUnits,Tasks[[#This Row],[_Res2Units]]))</f>
        <v>0</v>
      </c>
      <c r="DR111" s="42" t="n">
        <f aca="false">IF(AND(AND(Tasks[[#This Row],[_IsLeaf]]=1,Tasks[[#This Row],[_LeafTotalWork]]&gt;0),Tasks[[#This Row],[_Res2Work]]&gt;0),Tasks[[#This Row],[_Res2Work]]/(Tasks[[#This Row],[_FinishWorkday]]-Tasks[[#This Row],[_StartWorkday]]+1),0)</f>
        <v>0</v>
      </c>
      <c r="DS111" s="42" t="n">
        <f aca="false">Tasks[[#This Row],[_Res2WorkPerWD]]*MAX(0,Tasks[[#This Row],[_StartWorkday]]-1)</f>
        <v>0</v>
      </c>
      <c r="DT111" s="42" t="n">
        <f aca="false">Tasks[[#This Row],[_Res2Work]]*Tasks[[#This Row],[_LeafProgress]]</f>
        <v>0</v>
      </c>
      <c r="DU111" s="42" t="str">
        <f aca="false">IF(Tasks[[#This Row],[_Res3Text]]="","",IF(Tasks[[#This Row],[_Res3Row]]&gt;0,INDEX(res_Name,Tasks[[#This Row],[_Res3Row]]),TRIM(LEFT(Tasks[[#This Row],[_Res3Text]],FIND("[",Tasks[[#This Row],[_Res3Text]]&amp;"[")-1))))</f>
        <v/>
      </c>
      <c r="DV1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1" s="42" t="n">
        <f aca="false">IF(OR(NOT(Tasks[[#This Row],[_IsLeaf]]=1),Tasks[[#This Row],[_Res3Row]]=0),0,N(Tasks[[#This Row],[_Days]])*HoursPerDay*IF(Tasks[[#This Row],[_Res3Units]]="",DefaultUnits,Tasks[[#This Row],[_Res3Units]]))</f>
        <v>0</v>
      </c>
      <c r="DX111" s="42" t="n">
        <f aca="false">IF(AND(AND(Tasks[[#This Row],[_IsLeaf]]=1,Tasks[[#This Row],[_LeafTotalWork]]&gt;0),Tasks[[#This Row],[_Res3Work]]&gt;0),Tasks[[#This Row],[_Res3Work]]/(Tasks[[#This Row],[_FinishWorkday]]-Tasks[[#This Row],[_StartWorkday]]+1),0)</f>
        <v>0</v>
      </c>
      <c r="DY111" s="42" t="n">
        <f aca="false">Tasks[[#This Row],[_Res3WorkPerWD]]*MAX(0,Tasks[[#This Row],[_StartWorkday]]-1)</f>
        <v>0</v>
      </c>
      <c r="DZ111" s="42" t="n">
        <f aca="false">Tasks[[#This Row],[_Res3Work]]*Tasks[[#This Row],[_LeafProgress]]</f>
        <v>0</v>
      </c>
      <c r="EA111" s="42" t="str">
        <f aca="false">IF(Tasks[[#This Row],[_Res4Text]]="","",IF(Tasks[[#This Row],[_Res4Row]]&gt;0,INDEX(res_Name,Tasks[[#This Row],[_Res4Row]]),TRIM(LEFT(Tasks[[#This Row],[_Res4Text]],FIND("[",Tasks[[#This Row],[_Res4Text]]&amp;"[")-1))))</f>
        <v/>
      </c>
      <c r="EB1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1" s="42" t="n">
        <f aca="false">IF(OR(NOT(Tasks[[#This Row],[_IsLeaf]]=1),Tasks[[#This Row],[_Res4Row]]=0),0,N(Tasks[[#This Row],[_Days]])*HoursPerDay*IF(Tasks[[#This Row],[_Res4Units]]="",DefaultUnits,Tasks[[#This Row],[_Res4Units]]))</f>
        <v>0</v>
      </c>
      <c r="ED111" s="42" t="n">
        <f aca="false">IF(AND(AND(Tasks[[#This Row],[_IsLeaf]]=1,Tasks[[#This Row],[_LeafTotalWork]]&gt;0),Tasks[[#This Row],[_Res4Work]]&gt;0),Tasks[[#This Row],[_Res4Work]]/(Tasks[[#This Row],[_FinishWorkday]]-Tasks[[#This Row],[_StartWorkday]]+1),0)</f>
        <v>0</v>
      </c>
      <c r="EE111" s="42" t="n">
        <f aca="false">Tasks[[#This Row],[_Res4WorkPerWD]]*MAX(0,Tasks[[#This Row],[_StartWorkday]]-1)</f>
        <v>0</v>
      </c>
      <c r="EF111" s="42" t="n">
        <f aca="false">Tasks[[#This Row],[_Res4Work]]*Tasks[[#This Row],[_LeafProgress]]</f>
        <v>0</v>
      </c>
      <c r="EG111" s="42" t="n">
        <f aca="false">IF(ISNUMBER(Tasks[[#This Row],[% Complete]]),Tasks[[#This Row],[% Complete]],IF(Tasks[[#This Row],[Stage]]="",0,IFERROR(INDEX(stg_Pct,MATCH(Tasks[[#This Row],[Stage]],stg_Name,0)),0)))</f>
        <v>0</v>
      </c>
      <c r="EH111" s="42" t="n">
        <f aca="false">IF(NOT(Tasks[[#This Row],[_IsLeaf]]=1),0,IF(N(Tasks[[#This Row],[Actual Finish]])&gt;0,1,MIN(1,Tasks[[#This Row],[_Pct]])))</f>
        <v>0</v>
      </c>
      <c r="EI111" s="42" t="n">
        <f aca="false">IF(OR(NOT(Tasks[[#This Row],[_IsLeaf]]=1),Tasks[[#This Row],[_Res1Row]]=0),0,N(Tasks[[#This Row],[_Days]])*HoursPerDay*IF(Tasks[[#This Row],[_Units1]]="",DefaultUnits,Tasks[[#This Row],[_Units1]]))</f>
        <v>0</v>
      </c>
      <c r="EJ111" s="42" t="n">
        <f aca="false">Tasks[[#This Row],[_LeafWork]]+Tasks[[#This Row],[_Res2Work]]+Tasks[[#This Row],[_Res3Work]]+Tasks[[#This Row],[_Res4Work]]</f>
        <v>0</v>
      </c>
      <c r="EK11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1" s="42" t="n">
        <f aca="false">IF(NOT(Tasks[[#This Row],[_IsLeaf]]=1),0,MAX(_xlfn.MAXIFS(Tasks[_Row],Tasks[_Pred1UID],Tasks[[#This Row],[UID]]),_xlfn.MAXIFS(Tasks[_Row],Tasks[_Pred2UID],Tasks[[#This Row],[UID]]),_xlfn.MAXIFS(Tasks[_Row],Tasks[_Pred3UID],Tasks[[#This Row],[UID]]),_xlfn.MAXIFS(Tasks[_Row],Tasks[_Pred4UID],Tasks[[#This Row],[UID]])))</f>
        <v>0</v>
      </c>
      <c r="ET11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1" s="89" t="str">
        <f aca="false">IF(NOT(Tasks[[#This Row],[_IsLeaf]]=1),"",IF(N(Tasks[[#This Row],[_Days]])&lt;=0,Tasks[[#This Row],[_LeafLateFinish]],WORKDAY.INTL(Tasks[[#This Row],[_LeafLateFinish]],-(Tasks[[#This Row],[_Days]]-1),WorkWeek,Holidays)))</f>
        <v/>
      </c>
      <c r="EW11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1" s="88" t="b">
        <f aca="false">AND(Tasks[[#This Row],[_IsLeaf]]=1,Tasks[[#This Row],[_LeafProgress]]&lt;1,N(Tasks[[#This Row],[_LeafTotalSlack]])&lt;=CriticalSlackDays)</f>
        <v>0</v>
      </c>
      <c r="EY111" s="42" t="n">
        <f aca="false">IF(AND(Tasks[[#This Row],[_IsLeaf]]=1,Tasks[[#This Row],[_ConstraintCode]]=1,Tasks[[#This Row],[Mode]]&lt;&gt;"Manual",N(Tasks[[#This Row],[Actual Start]])=0),MAX(0,N(Tasks[[#This Row],[Free Slack]])),0)</f>
        <v>0</v>
      </c>
      <c r="EZ111" s="89" t="str">
        <f aca="false">IF(NOT(Tasks[[#This Row],[_IsLeaf]]=1),"",IF(Tasks[[#This Row],[_AlapShift]]=0,Tasks[[#This Row],[_LeafCalcStart]],WORKDAY.INTL(Tasks[[#This Row],[_LeafCalcStart]],Tasks[[#This Row],[_AlapShift]],WorkWeek,Holidays)))</f>
        <v/>
      </c>
      <c r="FA111" s="89" t="str">
        <f aca="false">IF(NOT(Tasks[[#This Row],[_IsLeaf]]=1),"",IF(Tasks[[#This Row],[_AlapShift]]=0,Tasks[[#This Row],[_LeafCalcFinish]],WORKDAY.INTL(Tasks[[#This Row],[_LeafCalcFinish]],Tasks[[#This Row],[_AlapShift]],WorkWeek,Holidays)))</f>
        <v/>
      </c>
      <c r="FB111" s="89" t="str">
        <f aca="false">IF(NOT(Tasks[[#This Row],[_IsLeaf]]=1),"",IF(Tasks[[#This Row],[_AlapShift]]=0,Tasks[[#This Row],[_LeafFcstStart]],WORKDAY.INTL(Tasks[[#This Row],[_LeafFcstStart]],Tasks[[#This Row],[_AlapShift]],WorkWeek,Holidays)))</f>
        <v/>
      </c>
      <c r="FC111" s="89" t="str">
        <f aca="false">IF(NOT(Tasks[[#This Row],[_IsLeaf]]=1),"",IF(Tasks[[#This Row],[_AlapShift]]=0,Tasks[[#This Row],[_LeafFcstFinish]],WORKDAY.INTL(Tasks[[#This Row],[_LeafFcstFinish]],Tasks[[#This Row],[_AlapShift]],WorkWeek,Holidays)))</f>
        <v/>
      </c>
      <c r="FD111" s="89" t="str">
        <f aca="false">IF(Tasks[[#This Row],[Task Name]]="","",IF(Tasks[[#This Row],[_IsSummary]],MIN(INDEX(Tasks[_ShownCalcStart],Tasks[[#This Row],[_Row]]+1):INDEX(Tasks[_ShownCalcStart],Tasks[[#This Row],[_Row]]+Tasks[[#This Row],[_Descendants]])),Tasks[[#This Row],[_ShownCalcStart]]))</f>
        <v/>
      </c>
      <c r="FE111" s="89" t="str">
        <f aca="false">IF(Tasks[[#This Row],[Task Name]]="","",IF(Tasks[[#This Row],[_IsSummary]],MAX(INDEX(Tasks[_ShownCalcFinish],Tasks[[#This Row],[_Row]]+1):INDEX(Tasks[_ShownCalcFinish],Tasks[[#This Row],[_Row]]+Tasks[[#This Row],[_Descendants]])),Tasks[[#This Row],[_ShownCalcFinish]]))</f>
        <v/>
      </c>
      <c r="FF1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1" s="42" t="n">
        <f aca="false">IF(AND(Tasks[[#This Row],[_IsLeaf]]=1,Tasks[[#This Row],[_LeafTotalWork]]&gt;0),NETWORKDAYS.INTL(ProjectStart,Tasks[[#This Row],[_ShownFcstStart]],WorkWeek,Holidays),0)</f>
        <v>0</v>
      </c>
      <c r="FS111" s="42" t="n">
        <f aca="false">IF(AND(Tasks[[#This Row],[_IsLeaf]]=1,Tasks[[#This Row],[_LeafTotalWork]]&gt;0),MAX(Tasks[[#This Row],[_StartWorkday]],NETWORKDAYS.INTL(ProjectStart,Tasks[[#This Row],[_ShownFcstFinish]],WorkWeek,Holidays)),0)</f>
        <v>0</v>
      </c>
      <c r="FT111" s="42" t="n">
        <f aca="false">IF(AND(Tasks[[#This Row],[_IsLeaf]]=1,Tasks[[#This Row],[_LeafTotalWork]]&gt;0),Tasks[[#This Row],[_LeafWork]]/(Tasks[[#This Row],[_FinishWorkday]]-Tasks[[#This Row],[_StartWorkday]]+1),0)</f>
        <v>0</v>
      </c>
      <c r="FU111" s="42" t="n">
        <f aca="false">Tasks[[#This Row],[_WorkPerWorkday]]*(Tasks[[#This Row],[_StartWorkday]]-1)</f>
        <v>-0</v>
      </c>
      <c r="FV111" s="42" t="n">
        <f aca="false">IF(Tasks[[#This Row],[_IsLeaf]]=1,MAX(N(Tasks[[#This Row],[_Days]]),0.1),0)</f>
        <v>0</v>
      </c>
      <c r="FW111" s="42" t="n">
        <f aca="false">Tasks[[#This Row],[_WeightDur]]*Tasks[[#This Row],[_LeafProgress]]</f>
        <v>0</v>
      </c>
      <c r="FX111" s="42" t="n">
        <f aca="false">Tasks[[#This Row],[_WeightDur]]*Tasks[[#This Row],[_PlannedPct]]</f>
        <v>0</v>
      </c>
      <c r="FY1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1" s="42" t="str">
        <f aca="false">IF(AND(Tasks[[#This Row],[_IsLeaf]]=1,N(Tasks[[#This Row],[_Days]])=0,Tasks[[#This Row],[_LeafProgress]]&lt;1),Tasks[[#This Row],[_ShownFcstFinish]]+Tasks[[#This Row],[_Row]]/100000,"")</f>
        <v/>
      </c>
      <c r="GA1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1" s="42" t="str">
        <f aca="false">IF(Tasks[[#This Row],[Task Name]]="","",LEFT(Tasks[[#This Row],[WBS]],FIND(".",Tasks[[#This Row],[WBS]]&amp;".")-1))</f>
        <v/>
      </c>
      <c r="GC111" s="42" t="str">
        <f aca="false">IF(AND(Tasks[[#This Row],[Task Name]]&lt;&gt;"",Tasks[[#This Row],[_Level]]=1),Tasks[[#This Row],[_Row]],"")</f>
        <v/>
      </c>
      <c r="GD111" s="42" t="str">
        <f aca="false">IF(AND(Tasks[[#This Row],[_IsLeaf]]=1,N(Tasks[[#This Row],[_Days]])=0),Tasks[[#This Row],[Planned Finish]]+Tasks[[#This Row],[_Row]]/100000,"")</f>
        <v/>
      </c>
      <c r="GE111" s="42" t="str">
        <f aca="false">IF(AND(Tasks[[#This Row],[_IsLeaf]]=1,Tasks[[#This Row],[_LeafProgress]]&lt;1,OR(N(Tasks[[#This Row],[Finish Var]])&gt;0,Tasks[[#This Row],[Status]]="Late Start")),MAX(0,Tasks[[#This Row],[Finish Var]])+1-Tasks[[#This Row],[_Row]]/1000000,"")</f>
        <v/>
      </c>
      <c r="GF111" s="42" t="str">
        <f aca="false">IF(AND(Tasks[[#This Row],[_IsLeaf]]=1,N(Tasks[[#This Row],[Actual Start]])=0,Tasks[[#This Row],[_ShownFcstStart]]&gt;=StatusDate,Tasks[[#This Row],[_ShownFcstStart]]&lt;=LookaheadEnd),Tasks[[#This Row],[_ShownFcstStart]]+Tasks[[#This Row],[_Row]]/100000,"")</f>
        <v/>
      </c>
      <c r="GG111" s="42" t="str">
        <f aca="false">IF(AND(Tasks[[#This Row],[_IsLeaf]]=1,Tasks[[#This Row],[_LeafProgress]]&lt;1,Tasks[[#This Row],[_ShownFcstFinish]]&gt;=StatusDate,Tasks[[#This Row],[_ShownFcstFinish]]&lt;=LookaheadEnd),Tasks[[#This Row],[_ShownFcstFinish]]+Tasks[[#This Row],[_Row]]/100000,"")</f>
        <v/>
      </c>
      <c r="GH111" s="42" t="str">
        <f aca="false">IF(Tasks[[#This Row],[_LeafCritical]],Tasks[[#This Row],[_ShownFcstStart]]+Tasks[[#This Row],[_Row]]/100000,"")</f>
        <v/>
      </c>
      <c r="GI111" s="42" t="n">
        <f aca="false">Tasks[[#This Row],[_LeafWork]]*Tasks[[#This Row],[_LeafProgress]]</f>
        <v>0</v>
      </c>
      <c r="GJ111" s="89" t="str">
        <f aca="false">IF(AND(Tasks[[#This Row],[_IsLeaf]]=1,Tasks[[#This Row],[_LeafProgress]]&gt;=1),IF(N(Tasks[[#This Row],[Actual Finish]])&gt;0,Tasks[[#This Row],[Actual Finish]],Tasks[[#This Row],[_ShownFcstFinish]]),"")</f>
        <v/>
      </c>
      <c r="GK111" s="42" t="n">
        <f aca="false">IF(Tasks[[#This Row],[_IsLeaf]]=1,N(Tasks[[#This Row],[Story Points]]),0)</f>
        <v>0</v>
      </c>
      <c r="GL111" s="42" t="str">
        <f aca="false">""</f>
        <v/>
      </c>
      <c r="GM111" s="88" t="b">
        <f aca="false">IF(Tasks[[#This Row],[Task Name]]="",FALSE(),AND(Tasks[[#This Row],[_IsLeaf]]=1,N(Tasks[[#This Row],[_Days]])=0))</f>
        <v>0</v>
      </c>
      <c r="GN111" s="89" t="n">
        <f aca="false">IF(Tasks[[#This Row],[Task Name]]="",0,IF(AND(Tasks[[#This Row],[_IsLeaf]]=1,NOT(Tasks[[#This Row],[_IsMilestone]]),N(Tasks[[#This Row],[Progress]])&gt;0),Tasks[[#This Row],[Start]],0))</f>
        <v>0</v>
      </c>
      <c r="GO111" s="89" t="n">
        <f aca="false">IF(Tasks[[#This Row],[_DoneFrom]]=0,0,IF(Tasks[[#This Row],[Progress]]&gt;=1,Tasks[[#This Row],[Finish]],MAX(Tasks[[#This Row],[_DoneFrom]],Tasks[[#This Row],[Start]]+ROUND((Tasks[[#This Row],[Finish]]-Tasks[[#This Row],[Start]]+1)*Tasks[[#This Row],[Progress]],0)-1)))</f>
        <v>0</v>
      </c>
      <c r="GP111" s="89" t="n">
        <f aca="false">IF(Tasks[[#This Row],[Task Name]]="",0,IF(OR(NOT(Tasks[[#This Row],[_IsLeaf]]=1),Tasks[[#This Row],[_IsMilestone]],N(Tasks[[#This Row],[Progress]])&gt;=1),0,IF(Tasks[[#This Row],[_DoneTo]]&gt;0,Tasks[[#This Row],[_DoneTo]]+1,Tasks[[#This Row],[Start]])))</f>
        <v>0</v>
      </c>
      <c r="GQ111" s="89" t="n">
        <f aca="false">IF(Tasks[[#This Row],[_RemFrom]]=0,0,Tasks[[#This Row],[Finish]])</f>
        <v>0</v>
      </c>
      <c r="GR111" s="88" t="b">
        <f aca="false">IF(Tasks[[#This Row],[Task Name]]="",FALSE(),OR(NOT(BaselineSet),N(Tasks[[#This Row],[Baseline Start]])&gt;0))</f>
        <v>0</v>
      </c>
      <c r="GS11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1" s="90" t="str">
        <f aca="false">IF(Tasks[[#This Row],[_IsLeaf]]=1,Tasks[[#This Row],[_Row]],"")</f>
        <v/>
      </c>
      <c r="GW111" s="90" t="str">
        <f aca="false">IFERROR(INDEX(Tasks[UID],SMALL(Tasks[_PickKey],Tasks[[#This Row],[_Row]]))&amp;" "&amp;INDEX(Tasks[Task Name],SMALL(Tasks[_PickKey],Tasks[[#This Row],[_Row]])),"")</f>
        <v/>
      </c>
      <c r="GX111" s="42" t="str">
        <f aca="false">IF(Tasks[[#This Row],[Task Name]]="","",IF(Tasks[[#This Row],[_IsSummary]],NETWORKDAYS.INTL(Tasks[[#This Row],[Start]],Tasks[[#This Row],[Finish]],WorkWeek,Holidays),N(Tasks[[#This Row],[_Days]])))</f>
        <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3"/>
      <c r="U112" s="23"/>
      <c r="V112" s="83"/>
      <c r="W112" s="23"/>
      <c r="X112" s="83"/>
      <c r="Y112" s="23"/>
      <c r="Z112" s="83"/>
      <c r="AA112" s="23"/>
      <c r="AB112" s="23"/>
      <c r="AC112" s="7"/>
      <c r="AD112" s="7"/>
      <c r="AE112" s="62" t="str">
        <f aca="false">IF(Tasks[[#This Row],[Task Name]]="","",IF(Tasks[[#This Row],[_IsSummary]],MIN(INDEX(Tasks[_ShownFcstStart],Tasks[[#This Row],[_Row]]+1):INDEX(Tasks[_ShownFcstStart],Tasks[[#This Row],[_Row]]+Tasks[[#This Row],[_Descendants]])),Tasks[[#This Row],[_ShownFcstStart]]))</f>
        <v/>
      </c>
      <c r="AF112" s="62"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2" s="7"/>
      <c r="AK112" s="22"/>
      <c r="AL112" s="23"/>
      <c r="AM112" s="7"/>
      <c r="AN112" s="46"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2" t="str">
        <f aca="false">IF(Tasks[[#This Row],[Task Name]]="","",IF(N(Tasks[[#This Row],[Baseline Start]])&gt;0,Tasks[[#This Row],[Baseline Start]],Tasks[[#This Row],[_CalcStart]]))</f>
        <v/>
      </c>
      <c r="AR112" s="62" t="str">
        <f aca="false">IF(Tasks[[#This Row],[Task Name]]="","",IF(N(Tasks[[#This Row],[Baseline Finish]])&gt;0,Tasks[[#This Row],[Baseline Finish]],Tasks[[#This Row],[_CalcFinish]]))</f>
        <v/>
      </c>
      <c r="AS112" s="46" t="str">
        <f aca="false">IF(Tasks[[#This Row],[Task Name]]="","",IF(Tasks[[#This Row],[Start]]&gt;=Tasks[[#This Row],[Planned Start]],NETWORKDAYS.INTL(Tasks[[#This Row],[Planned Start]],Tasks[[#This Row],[Start]],WorkWeek,Holidays)-1,1-NETWORKDAYS.INTL(Tasks[[#This Row],[Start]],Tasks[[#This Row],[Planned Start]],WorkWeek,Holidays)))</f>
        <v/>
      </c>
      <c r="AT112" s="62" t="str">
        <f aca="false">IF(Tasks[[#This Row],[Task Name]]="","",IF(Tasks[[#This Row],[_IsSummary]],MIN(INDEX(Tasks[_LeafLateStart],Tasks[[#This Row],[_Row]]+1):INDEX(Tasks[_LeafLateStart],Tasks[[#This Row],[_Row]]+Tasks[[#This Row],[_Descendants]])),Tasks[[#This Row],[_LeafLateStart]]))</f>
        <v/>
      </c>
      <c r="AU112" s="62" t="str">
        <f aca="false">IF(Tasks[[#This Row],[Task Name]]="","",IF(Tasks[[#This Row],[_IsSummary]],MAX(INDEX(Tasks[_LeafLateFinish],Tasks[[#This Row],[_Row]]+1):INDEX(Tasks[_LeafLateFinish],Tasks[[#This Row],[_Row]]+Tasks[[#This Row],[_Descendants]])),Tasks[[#This Row],[_LeafLateFinish]]))</f>
        <v/>
      </c>
      <c r="AV112" s="46"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4"/>
      <c r="BA11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5"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6"/>
      <c r="BJ112" s="22"/>
      <c r="BK112" s="46" t="str">
        <f aca="false">IF(OR(Tasks[[#This Row],[Task Name]]="",Tasks[[#This Row],[Baseline Duration]]=""),"",Tasks[[#This Row],[_SpanDays]]-N(Tasks[[#This Row],[Baseline Duration]]))</f>
        <v/>
      </c>
      <c r="BL112" s="85" t="str">
        <f aca="false">IF(OR(Tasks[[#This Row],[Task Name]]="",Tasks[[#This Row],[Baseline Work]]=""),"",Tasks[[#This Row],[Work]]-N(Tasks[[#This Row],[Baseline Work]]))</f>
        <v/>
      </c>
      <c r="BM112" s="62" t="str">
        <f aca="false">IF(Tasks[[#This Row],[Task Name]]="","",IF(OR(TakeBaseline="Yes",N(Tasks[[#This Row],[Baseline Start]])=0),Tasks[[#This Row],[Start]],Tasks[[#This Row],[Baseline Start]]))</f>
        <v/>
      </c>
      <c r="BN112" s="62"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5" t="str">
        <f aca="false">IF(Tasks[[#This Row],[Task Name]]="","",IF(OR(TakeBaseline="Yes",N(Tasks[[#This Row],[Baseline Work]])=0),Tasks[[#This Row],[Work]],Tasks[[#This Row],[Baseline Work]]))</f>
        <v/>
      </c>
      <c r="BQ112" s="7"/>
      <c r="BR112" s="7"/>
      <c r="BS112" s="22"/>
      <c r="BT112" s="87"/>
      <c r="BU112" s="42" t="str">
        <f aca="false">IF(Tasks[[#This Row],[Task Name]]="","",MAX(1,N(Tasks[[#This Row],[Level]])))</f>
        <v/>
      </c>
      <c r="BV112" s="42" t="n">
        <f aca="false">ROW()-ROW(Tasks[[#Headers],[ID]])</f>
        <v>107</v>
      </c>
      <c r="BW112" s="42" t="n">
        <f aca="false">IF(OR(Tasks[[#This Row],[Task Name]]="",Tasks[[#This Row],[_Level]]&lt;=1),0,IFERROR(LOOKUP(2,1/(Tasks[[#Headers],[_Level]]:Tasks[[#This Row],[_Level]]=Tasks[[#This Row],[_Level]]-1),ROW(Tasks[[#Headers],[_Level]]:Tasks[[#This Row],[_Level]])),0))</f>
        <v>0</v>
      </c>
      <c r="BX112" s="42" t="n">
        <f aca="false">IFERROR(N(INDEX(Tasks[_Level],Tasks[[#This Row],[_Row]]+1)),0)</f>
        <v>0</v>
      </c>
      <c r="BY112" s="88" t="b">
        <f aca="false">AND(Tasks[[#This Row],[Task Name]]&lt;&gt;"",Tasks[[#This Row],[_NextLevel]]&gt;Tasks[[#This Row],[_Level]])</f>
        <v>0</v>
      </c>
      <c r="BZ112" s="42" t="n">
        <f aca="false">IF(Tasks[[#This Row],[_IsSummary]],COUNTIF(Tasks[WBS],Tasks[[#This Row],[WBS]]&amp;".*"),0)</f>
        <v>0</v>
      </c>
      <c r="CA112" s="42" t="n">
        <f aca="false">IF(AND(Tasks[[#This Row],[Task Name]]&lt;&gt;"",NOT(Tasks[[#This Row],[_IsSummary]])),1,0)</f>
        <v>0</v>
      </c>
      <c r="CB112" s="42" t="n">
        <f aca="false">IF(N(Tasks[[#This Row],[_Pred1UID]])=0,0,IFERROR(MATCH(Tasks[[#This Row],[_Pred1UID]],Tasks[UID],0),-1))</f>
        <v>0</v>
      </c>
      <c r="CC112" s="42" t="n">
        <f aca="false">IF(N(Tasks[[#This Row],[_Pred2UID]])=0,0,IFERROR(MATCH(Tasks[[#This Row],[_Pred2UID]],Tasks[UID],0),-1))</f>
        <v>0</v>
      </c>
      <c r="CD112" s="42" t="n">
        <f aca="false">IF(N(Tasks[[#This Row],[_Pred3UID]])=0,0,IFERROR(MATCH(Tasks[[#This Row],[_Pred3UID]],Tasks[UID],0),-1))</f>
        <v>0</v>
      </c>
      <c r="CE112" s="42" t="n">
        <f aca="false">IF(N(Tasks[[#This Row],[_Pred4UID]])=0,0,IFERROR(MATCH(Tasks[[#This Row],[_Pred4UID]],Tasks[UID],0),-1))</f>
        <v>0</v>
      </c>
      <c r="CF11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2" s="89" t="n">
        <f aca="false">IF(OR(Tasks[[#This Row],[_ConstraintCode]]=2,Tasks[[#This Row],[_ConstraintCode]]=3,Tasks[[#This Row],[_ConstraintCode]]=4,Tasks[[#This Row],[_ConstraintCode]]=6),Tasks[[#This Row],[_ConstraintStart]],0)</f>
        <v>0</v>
      </c>
      <c r="CI112" s="89" t="n">
        <f aca="false">IF(OR(Tasks[[#This Row],[_ConstraintCode]]=2,Tasks[[#This Row],[_ConstraintCode]]=3,Tasks[[#This Row],[_ConstraintCode]]=5,Tasks[[#This Row],[_ConstraintCode]]=7),Tasks[[#This Row],[_ConstraintStart]],2958465)</f>
        <v>2958465</v>
      </c>
      <c r="CJ11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2" s="89" t="str">
        <f aca="false">IF(NOT(Tasks[[#This Row],[_IsLeaf]]=1),"",IF(N(Tasks[[#This Row],[_Days]])&lt;=0,Tasks[[#This Row],[_LeafCalcStart]],WORKDAY.INTL(Tasks[[#This Row],[_LeafCalcStart]],Tasks[[#This Row],[_Days]]-1,WorkWeek,Holidays)))</f>
        <v/>
      </c>
      <c r="CL11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2" s="42" t="str">
        <f aca="false">IF(Tasks[[#This Row],[_Predecessors]]="","",TRIM(MID(SUBSTITUTE(SUBSTITUTE(SUBSTITUTE(UPPER(Tasks[[#This Row],[_Predecessors]]),";",",")," ",""),",",REPT(" ",99)),1,99)))</f>
        <v/>
      </c>
      <c r="CO112" s="42" t="str">
        <f aca="false">IF(Tasks[[#This Row],[_Pred1Text]]="","",IFERROR(VALUE(LEFT(Tasks[[#This Row],[_Pred1Text]],MIN(FIND("F",Tasks[[#This Row],[_Pred1Text]]&amp;"F"),FIND("S",Tasks[[#This Row],[_Pred1Text]]&amp;"S"),FIND("+",Tasks[[#This Row],[_Pred1Text]]&amp;"+"),FIND("-",Tasks[[#This Row],[_Pred1Text]]&amp;"-"))-1)),""))</f>
        <v/>
      </c>
      <c r="CP1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2" s="42" t="str">
        <f aca="false">IF(Tasks[[#This Row],[_Pred1Text]]="","",TRIM(MID(SUBSTITUTE(SUBSTITUTE(SUBSTITUTE(UPPER(Tasks[[#This Row],[_Predecessors]]),";",",")," ",""),",",REPT(" ",99)),100,99)))</f>
        <v/>
      </c>
      <c r="CS112" s="42" t="str">
        <f aca="false">IF(Tasks[[#This Row],[_Pred2Text]]="","",IFERROR(VALUE(LEFT(Tasks[[#This Row],[_Pred2Text]],MIN(FIND("F",Tasks[[#This Row],[_Pred2Text]]&amp;"F"),FIND("S",Tasks[[#This Row],[_Pred2Text]]&amp;"S"),FIND("+",Tasks[[#This Row],[_Pred2Text]]&amp;"+"),FIND("-",Tasks[[#This Row],[_Pred2Text]]&amp;"-"))-1)),""))</f>
        <v/>
      </c>
      <c r="CT1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2" s="42" t="str">
        <f aca="false">IF(Tasks[[#This Row],[_Pred2Text]]="","",TRIM(MID(SUBSTITUTE(SUBSTITUTE(SUBSTITUTE(UPPER(Tasks[[#This Row],[_Predecessors]]),";",",")," ",""),",",REPT(" ",99)),199,99)))</f>
        <v/>
      </c>
      <c r="CW112" s="42" t="str">
        <f aca="false">IF(Tasks[[#This Row],[_Pred3Text]]="","",IFERROR(VALUE(LEFT(Tasks[[#This Row],[_Pred3Text]],MIN(FIND("F",Tasks[[#This Row],[_Pred3Text]]&amp;"F"),FIND("S",Tasks[[#This Row],[_Pred3Text]]&amp;"S"),FIND("+",Tasks[[#This Row],[_Pred3Text]]&amp;"+"),FIND("-",Tasks[[#This Row],[_Pred3Text]]&amp;"-"))-1)),""))</f>
        <v/>
      </c>
      <c r="CX1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2" s="42" t="str">
        <f aca="false">IF(Tasks[[#This Row],[_Pred3Text]]="","",TRIM(MID(SUBSTITUTE(SUBSTITUTE(SUBSTITUTE(UPPER(Tasks[[#This Row],[_Predecessors]]),";",",")," ",""),",",REPT(" ",99)),298,99)))</f>
        <v/>
      </c>
      <c r="DA112" s="42" t="str">
        <f aca="false">IF(Tasks[[#This Row],[_Pred4Text]]="","",IFERROR(VALUE(LEFT(Tasks[[#This Row],[_Pred4Text]],MIN(FIND("F",Tasks[[#This Row],[_Pred4Text]]&amp;"F"),FIND("S",Tasks[[#This Row],[_Pred4Text]]&amp;"S"),FIND("+",Tasks[[#This Row],[_Pred4Text]]&amp;"+"),FIND("-",Tasks[[#This Row],[_Pred4Text]]&amp;"-"))-1)),""))</f>
        <v/>
      </c>
      <c r="DB1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2" s="42" t="str">
        <f aca="false">IF(OR(Tasks[[#This Row],[Task Name]]="",Tasks[[#This Row],[_Resources]]=""),"",TRIM(MID(SUBSTITUTE(Tasks[[#This Row],[_Resources]],",",REPT(" ",99)),1,99)))</f>
        <v/>
      </c>
      <c r="DE112" s="42" t="str">
        <f aca="false">IF(Tasks[[#This Row],[_Res1Text]]="","",TRIM(MID(SUBSTITUTE(Tasks[[#This Row],[_Resources]],",",REPT(" ",99)),100,99)))</f>
        <v/>
      </c>
      <c r="DF112" s="42" t="str">
        <f aca="false">IF(Tasks[[#This Row],[_Res2Text]]="","",TRIM(MID(SUBSTITUTE(Tasks[[#This Row],[_Resources]],",",REPT(" ",99)),199,99)))</f>
        <v/>
      </c>
      <c r="DG112" s="42" t="str">
        <f aca="false">IF(Tasks[[#This Row],[_Res3Text]]="","",TRIM(MID(SUBSTITUTE(Tasks[[#This Row],[_Resources]],",",REPT(" ",99)),298,99)))</f>
        <v/>
      </c>
      <c r="DH112" s="42" t="n">
        <f aca="false">IF(Tasks[[#This Row],[_Res1Text]]="",0,IFERROR(MATCH(TRIM(LEFT(Tasks[[#This Row],[_Res1Text]],FIND("[",Tasks[[#This Row],[_Res1Text]]&amp;"[")-1)),res_Name,0),IFERROR(MATCH(TRIM(LEFT(Tasks[[#This Row],[_Res1Text]],FIND("[",Tasks[[#This Row],[_Res1Text]]&amp;"[")-1)),res_Initials,0),0)))</f>
        <v>0</v>
      </c>
      <c r="DI112" s="42" t="n">
        <f aca="false">IF(Tasks[[#This Row],[_Res2Text]]="",0,IFERROR(MATCH(TRIM(LEFT(Tasks[[#This Row],[_Res2Text]],FIND("[",Tasks[[#This Row],[_Res2Text]]&amp;"[")-1)),res_Name,0),IFERROR(MATCH(TRIM(LEFT(Tasks[[#This Row],[_Res2Text]],FIND("[",Tasks[[#This Row],[_Res2Text]]&amp;"[")-1)),res_Initials,0),0)))</f>
        <v>0</v>
      </c>
      <c r="DJ112" s="42" t="n">
        <f aca="false">IF(Tasks[[#This Row],[_Res3Text]]="",0,IFERROR(MATCH(TRIM(LEFT(Tasks[[#This Row],[_Res3Text]],FIND("[",Tasks[[#This Row],[_Res3Text]]&amp;"[")-1)),res_Name,0),IFERROR(MATCH(TRIM(LEFT(Tasks[[#This Row],[_Res3Text]],FIND("[",Tasks[[#This Row],[_Res3Text]]&amp;"[")-1)),res_Initials,0),0)))</f>
        <v>0</v>
      </c>
      <c r="DK112" s="42" t="n">
        <f aca="false">IF(Tasks[[#This Row],[_Res4Text]]="",0,IFERROR(MATCH(TRIM(LEFT(Tasks[[#This Row],[_Res4Text]],FIND("[",Tasks[[#This Row],[_Res4Text]]&amp;"[")-1)),res_Name,0),IFERROR(MATCH(TRIM(LEFT(Tasks[[#This Row],[_Res4Text]],FIND("[",Tasks[[#This Row],[_Res4Text]]&amp;"[")-1)),res_Initials,0),0)))</f>
        <v>0</v>
      </c>
      <c r="DL112" s="42" t="str">
        <f aca="false">IF(Tasks[[#This Row],[_Res1Text]]="","",IF(Tasks[[#This Row],[_Res1Row]]&gt;0,INDEX(res_Name,Tasks[[#This Row],[_Res1Row]]),TRIM(LEFT(Tasks[[#This Row],[_Res1Text]],FIND("[",Tasks[[#This Row],[_Res1Text]]&amp;"[")-1))))</f>
        <v/>
      </c>
      <c r="DM1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2" s="42" t="n">
        <f aca="false">IF(NOT(Tasks[[#This Row],[_IsLeaf]]=1),0,(Tasks[[#This Row],[_Resource1]]&lt;&gt;"")+(Tasks[[#This Row],[_Res2]]&lt;&gt;"")+(Tasks[[#This Row],[_Res3]]&lt;&gt;"")+(Tasks[[#This Row],[_Res4]]&lt;&gt;""))</f>
        <v>0</v>
      </c>
      <c r="DO112" s="42" t="str">
        <f aca="false">IF(Tasks[[#This Row],[_Res2Text]]="","",IF(Tasks[[#This Row],[_Res2Row]]&gt;0,INDEX(res_Name,Tasks[[#This Row],[_Res2Row]]),TRIM(LEFT(Tasks[[#This Row],[_Res2Text]],FIND("[",Tasks[[#This Row],[_Res2Text]]&amp;"[")-1))))</f>
        <v/>
      </c>
      <c r="DP1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2" s="42" t="n">
        <f aca="false">IF(OR(NOT(Tasks[[#This Row],[_IsLeaf]]=1),Tasks[[#This Row],[_Res2Row]]=0),0,N(Tasks[[#This Row],[_Days]])*HoursPerDay*IF(Tasks[[#This Row],[_Res2Units]]="",DefaultUnits,Tasks[[#This Row],[_Res2Units]]))</f>
        <v>0</v>
      </c>
      <c r="DR112" s="42" t="n">
        <f aca="false">IF(AND(AND(Tasks[[#This Row],[_IsLeaf]]=1,Tasks[[#This Row],[_LeafTotalWork]]&gt;0),Tasks[[#This Row],[_Res2Work]]&gt;0),Tasks[[#This Row],[_Res2Work]]/(Tasks[[#This Row],[_FinishWorkday]]-Tasks[[#This Row],[_StartWorkday]]+1),0)</f>
        <v>0</v>
      </c>
      <c r="DS112" s="42" t="n">
        <f aca="false">Tasks[[#This Row],[_Res2WorkPerWD]]*MAX(0,Tasks[[#This Row],[_StartWorkday]]-1)</f>
        <v>0</v>
      </c>
      <c r="DT112" s="42" t="n">
        <f aca="false">Tasks[[#This Row],[_Res2Work]]*Tasks[[#This Row],[_LeafProgress]]</f>
        <v>0</v>
      </c>
      <c r="DU112" s="42" t="str">
        <f aca="false">IF(Tasks[[#This Row],[_Res3Text]]="","",IF(Tasks[[#This Row],[_Res3Row]]&gt;0,INDEX(res_Name,Tasks[[#This Row],[_Res3Row]]),TRIM(LEFT(Tasks[[#This Row],[_Res3Text]],FIND("[",Tasks[[#This Row],[_Res3Text]]&amp;"[")-1))))</f>
        <v/>
      </c>
      <c r="DV1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2" s="42" t="n">
        <f aca="false">IF(OR(NOT(Tasks[[#This Row],[_IsLeaf]]=1),Tasks[[#This Row],[_Res3Row]]=0),0,N(Tasks[[#This Row],[_Days]])*HoursPerDay*IF(Tasks[[#This Row],[_Res3Units]]="",DefaultUnits,Tasks[[#This Row],[_Res3Units]]))</f>
        <v>0</v>
      </c>
      <c r="DX112" s="42" t="n">
        <f aca="false">IF(AND(AND(Tasks[[#This Row],[_IsLeaf]]=1,Tasks[[#This Row],[_LeafTotalWork]]&gt;0),Tasks[[#This Row],[_Res3Work]]&gt;0),Tasks[[#This Row],[_Res3Work]]/(Tasks[[#This Row],[_FinishWorkday]]-Tasks[[#This Row],[_StartWorkday]]+1),0)</f>
        <v>0</v>
      </c>
      <c r="DY112" s="42" t="n">
        <f aca="false">Tasks[[#This Row],[_Res3WorkPerWD]]*MAX(0,Tasks[[#This Row],[_StartWorkday]]-1)</f>
        <v>0</v>
      </c>
      <c r="DZ112" s="42" t="n">
        <f aca="false">Tasks[[#This Row],[_Res3Work]]*Tasks[[#This Row],[_LeafProgress]]</f>
        <v>0</v>
      </c>
      <c r="EA112" s="42" t="str">
        <f aca="false">IF(Tasks[[#This Row],[_Res4Text]]="","",IF(Tasks[[#This Row],[_Res4Row]]&gt;0,INDEX(res_Name,Tasks[[#This Row],[_Res4Row]]),TRIM(LEFT(Tasks[[#This Row],[_Res4Text]],FIND("[",Tasks[[#This Row],[_Res4Text]]&amp;"[")-1))))</f>
        <v/>
      </c>
      <c r="EB1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2" s="42" t="n">
        <f aca="false">IF(OR(NOT(Tasks[[#This Row],[_IsLeaf]]=1),Tasks[[#This Row],[_Res4Row]]=0),0,N(Tasks[[#This Row],[_Days]])*HoursPerDay*IF(Tasks[[#This Row],[_Res4Units]]="",DefaultUnits,Tasks[[#This Row],[_Res4Units]]))</f>
        <v>0</v>
      </c>
      <c r="ED112" s="42" t="n">
        <f aca="false">IF(AND(AND(Tasks[[#This Row],[_IsLeaf]]=1,Tasks[[#This Row],[_LeafTotalWork]]&gt;0),Tasks[[#This Row],[_Res4Work]]&gt;0),Tasks[[#This Row],[_Res4Work]]/(Tasks[[#This Row],[_FinishWorkday]]-Tasks[[#This Row],[_StartWorkday]]+1),0)</f>
        <v>0</v>
      </c>
      <c r="EE112" s="42" t="n">
        <f aca="false">Tasks[[#This Row],[_Res4WorkPerWD]]*MAX(0,Tasks[[#This Row],[_StartWorkday]]-1)</f>
        <v>0</v>
      </c>
      <c r="EF112" s="42" t="n">
        <f aca="false">Tasks[[#This Row],[_Res4Work]]*Tasks[[#This Row],[_LeafProgress]]</f>
        <v>0</v>
      </c>
      <c r="EG112" s="42" t="n">
        <f aca="false">IF(ISNUMBER(Tasks[[#This Row],[% Complete]]),Tasks[[#This Row],[% Complete]],IF(Tasks[[#This Row],[Stage]]="",0,IFERROR(INDEX(stg_Pct,MATCH(Tasks[[#This Row],[Stage]],stg_Name,0)),0)))</f>
        <v>0</v>
      </c>
      <c r="EH112" s="42" t="n">
        <f aca="false">IF(NOT(Tasks[[#This Row],[_IsLeaf]]=1),0,IF(N(Tasks[[#This Row],[Actual Finish]])&gt;0,1,MIN(1,Tasks[[#This Row],[_Pct]])))</f>
        <v>0</v>
      </c>
      <c r="EI112" s="42" t="n">
        <f aca="false">IF(OR(NOT(Tasks[[#This Row],[_IsLeaf]]=1),Tasks[[#This Row],[_Res1Row]]=0),0,N(Tasks[[#This Row],[_Days]])*HoursPerDay*IF(Tasks[[#This Row],[_Units1]]="",DefaultUnits,Tasks[[#This Row],[_Units1]]))</f>
        <v>0</v>
      </c>
      <c r="EJ112" s="42" t="n">
        <f aca="false">Tasks[[#This Row],[_LeafWork]]+Tasks[[#This Row],[_Res2Work]]+Tasks[[#This Row],[_Res3Work]]+Tasks[[#This Row],[_Res4Work]]</f>
        <v>0</v>
      </c>
      <c r="EK11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2" s="42" t="n">
        <f aca="false">IF(NOT(Tasks[[#This Row],[_IsLeaf]]=1),0,MAX(_xlfn.MAXIFS(Tasks[_Row],Tasks[_Pred1UID],Tasks[[#This Row],[UID]]),_xlfn.MAXIFS(Tasks[_Row],Tasks[_Pred2UID],Tasks[[#This Row],[UID]]),_xlfn.MAXIFS(Tasks[_Row],Tasks[_Pred3UID],Tasks[[#This Row],[UID]]),_xlfn.MAXIFS(Tasks[_Row],Tasks[_Pred4UID],Tasks[[#This Row],[UID]])))</f>
        <v>0</v>
      </c>
      <c r="ET11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2" s="89" t="str">
        <f aca="false">IF(NOT(Tasks[[#This Row],[_IsLeaf]]=1),"",IF(N(Tasks[[#This Row],[_Days]])&lt;=0,Tasks[[#This Row],[_LeafLateFinish]],WORKDAY.INTL(Tasks[[#This Row],[_LeafLateFinish]],-(Tasks[[#This Row],[_Days]]-1),WorkWeek,Holidays)))</f>
        <v/>
      </c>
      <c r="EW11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2" s="88" t="b">
        <f aca="false">AND(Tasks[[#This Row],[_IsLeaf]]=1,Tasks[[#This Row],[_LeafProgress]]&lt;1,N(Tasks[[#This Row],[_LeafTotalSlack]])&lt;=CriticalSlackDays)</f>
        <v>0</v>
      </c>
      <c r="EY112" s="42" t="n">
        <f aca="false">IF(AND(Tasks[[#This Row],[_IsLeaf]]=1,Tasks[[#This Row],[_ConstraintCode]]=1,Tasks[[#This Row],[Mode]]&lt;&gt;"Manual",N(Tasks[[#This Row],[Actual Start]])=0),MAX(0,N(Tasks[[#This Row],[Free Slack]])),0)</f>
        <v>0</v>
      </c>
      <c r="EZ112" s="89" t="str">
        <f aca="false">IF(NOT(Tasks[[#This Row],[_IsLeaf]]=1),"",IF(Tasks[[#This Row],[_AlapShift]]=0,Tasks[[#This Row],[_LeafCalcStart]],WORKDAY.INTL(Tasks[[#This Row],[_LeafCalcStart]],Tasks[[#This Row],[_AlapShift]],WorkWeek,Holidays)))</f>
        <v/>
      </c>
      <c r="FA112" s="89" t="str">
        <f aca="false">IF(NOT(Tasks[[#This Row],[_IsLeaf]]=1),"",IF(Tasks[[#This Row],[_AlapShift]]=0,Tasks[[#This Row],[_LeafCalcFinish]],WORKDAY.INTL(Tasks[[#This Row],[_LeafCalcFinish]],Tasks[[#This Row],[_AlapShift]],WorkWeek,Holidays)))</f>
        <v/>
      </c>
      <c r="FB112" s="89" t="str">
        <f aca="false">IF(NOT(Tasks[[#This Row],[_IsLeaf]]=1),"",IF(Tasks[[#This Row],[_AlapShift]]=0,Tasks[[#This Row],[_LeafFcstStart]],WORKDAY.INTL(Tasks[[#This Row],[_LeafFcstStart]],Tasks[[#This Row],[_AlapShift]],WorkWeek,Holidays)))</f>
        <v/>
      </c>
      <c r="FC112" s="89" t="str">
        <f aca="false">IF(NOT(Tasks[[#This Row],[_IsLeaf]]=1),"",IF(Tasks[[#This Row],[_AlapShift]]=0,Tasks[[#This Row],[_LeafFcstFinish]],WORKDAY.INTL(Tasks[[#This Row],[_LeafFcstFinish]],Tasks[[#This Row],[_AlapShift]],WorkWeek,Holidays)))</f>
        <v/>
      </c>
      <c r="FD112" s="89" t="str">
        <f aca="false">IF(Tasks[[#This Row],[Task Name]]="","",IF(Tasks[[#This Row],[_IsSummary]],MIN(INDEX(Tasks[_ShownCalcStart],Tasks[[#This Row],[_Row]]+1):INDEX(Tasks[_ShownCalcStart],Tasks[[#This Row],[_Row]]+Tasks[[#This Row],[_Descendants]])),Tasks[[#This Row],[_ShownCalcStart]]))</f>
        <v/>
      </c>
      <c r="FE112" s="89" t="str">
        <f aca="false">IF(Tasks[[#This Row],[Task Name]]="","",IF(Tasks[[#This Row],[_IsSummary]],MAX(INDEX(Tasks[_ShownCalcFinish],Tasks[[#This Row],[_Row]]+1):INDEX(Tasks[_ShownCalcFinish],Tasks[[#This Row],[_Row]]+Tasks[[#This Row],[_Descendants]])),Tasks[[#This Row],[_ShownCalcFinish]]))</f>
        <v/>
      </c>
      <c r="FF1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2" s="42" t="n">
        <f aca="false">IF(AND(Tasks[[#This Row],[_IsLeaf]]=1,Tasks[[#This Row],[_LeafTotalWork]]&gt;0),NETWORKDAYS.INTL(ProjectStart,Tasks[[#This Row],[_ShownFcstStart]],WorkWeek,Holidays),0)</f>
        <v>0</v>
      </c>
      <c r="FS112" s="42" t="n">
        <f aca="false">IF(AND(Tasks[[#This Row],[_IsLeaf]]=1,Tasks[[#This Row],[_LeafTotalWork]]&gt;0),MAX(Tasks[[#This Row],[_StartWorkday]],NETWORKDAYS.INTL(ProjectStart,Tasks[[#This Row],[_ShownFcstFinish]],WorkWeek,Holidays)),0)</f>
        <v>0</v>
      </c>
      <c r="FT112" s="42" t="n">
        <f aca="false">IF(AND(Tasks[[#This Row],[_IsLeaf]]=1,Tasks[[#This Row],[_LeafTotalWork]]&gt;0),Tasks[[#This Row],[_LeafWork]]/(Tasks[[#This Row],[_FinishWorkday]]-Tasks[[#This Row],[_StartWorkday]]+1),0)</f>
        <v>0</v>
      </c>
      <c r="FU112" s="42" t="n">
        <f aca="false">Tasks[[#This Row],[_WorkPerWorkday]]*(Tasks[[#This Row],[_StartWorkday]]-1)</f>
        <v>-0</v>
      </c>
      <c r="FV112" s="42" t="n">
        <f aca="false">IF(Tasks[[#This Row],[_IsLeaf]]=1,MAX(N(Tasks[[#This Row],[_Days]]),0.1),0)</f>
        <v>0</v>
      </c>
      <c r="FW112" s="42" t="n">
        <f aca="false">Tasks[[#This Row],[_WeightDur]]*Tasks[[#This Row],[_LeafProgress]]</f>
        <v>0</v>
      </c>
      <c r="FX112" s="42" t="n">
        <f aca="false">Tasks[[#This Row],[_WeightDur]]*Tasks[[#This Row],[_PlannedPct]]</f>
        <v>0</v>
      </c>
      <c r="FY1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2" s="42" t="str">
        <f aca="false">IF(AND(Tasks[[#This Row],[_IsLeaf]]=1,N(Tasks[[#This Row],[_Days]])=0,Tasks[[#This Row],[_LeafProgress]]&lt;1),Tasks[[#This Row],[_ShownFcstFinish]]+Tasks[[#This Row],[_Row]]/100000,"")</f>
        <v/>
      </c>
      <c r="GA1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2" s="42" t="str">
        <f aca="false">IF(Tasks[[#This Row],[Task Name]]="","",LEFT(Tasks[[#This Row],[WBS]],FIND(".",Tasks[[#This Row],[WBS]]&amp;".")-1))</f>
        <v/>
      </c>
      <c r="GC112" s="42" t="str">
        <f aca="false">IF(AND(Tasks[[#This Row],[Task Name]]&lt;&gt;"",Tasks[[#This Row],[_Level]]=1),Tasks[[#This Row],[_Row]],"")</f>
        <v/>
      </c>
      <c r="GD112" s="42" t="str">
        <f aca="false">IF(AND(Tasks[[#This Row],[_IsLeaf]]=1,N(Tasks[[#This Row],[_Days]])=0),Tasks[[#This Row],[Planned Finish]]+Tasks[[#This Row],[_Row]]/100000,"")</f>
        <v/>
      </c>
      <c r="GE112" s="42" t="str">
        <f aca="false">IF(AND(Tasks[[#This Row],[_IsLeaf]]=1,Tasks[[#This Row],[_LeafProgress]]&lt;1,OR(N(Tasks[[#This Row],[Finish Var]])&gt;0,Tasks[[#This Row],[Status]]="Late Start")),MAX(0,Tasks[[#This Row],[Finish Var]])+1-Tasks[[#This Row],[_Row]]/1000000,"")</f>
        <v/>
      </c>
      <c r="GF112" s="42" t="str">
        <f aca="false">IF(AND(Tasks[[#This Row],[_IsLeaf]]=1,N(Tasks[[#This Row],[Actual Start]])=0,Tasks[[#This Row],[_ShownFcstStart]]&gt;=StatusDate,Tasks[[#This Row],[_ShownFcstStart]]&lt;=LookaheadEnd),Tasks[[#This Row],[_ShownFcstStart]]+Tasks[[#This Row],[_Row]]/100000,"")</f>
        <v/>
      </c>
      <c r="GG112" s="42" t="str">
        <f aca="false">IF(AND(Tasks[[#This Row],[_IsLeaf]]=1,Tasks[[#This Row],[_LeafProgress]]&lt;1,Tasks[[#This Row],[_ShownFcstFinish]]&gt;=StatusDate,Tasks[[#This Row],[_ShownFcstFinish]]&lt;=LookaheadEnd),Tasks[[#This Row],[_ShownFcstFinish]]+Tasks[[#This Row],[_Row]]/100000,"")</f>
        <v/>
      </c>
      <c r="GH112" s="42" t="str">
        <f aca="false">IF(Tasks[[#This Row],[_LeafCritical]],Tasks[[#This Row],[_ShownFcstStart]]+Tasks[[#This Row],[_Row]]/100000,"")</f>
        <v/>
      </c>
      <c r="GI112" s="42" t="n">
        <f aca="false">Tasks[[#This Row],[_LeafWork]]*Tasks[[#This Row],[_LeafProgress]]</f>
        <v>0</v>
      </c>
      <c r="GJ112" s="89" t="str">
        <f aca="false">IF(AND(Tasks[[#This Row],[_IsLeaf]]=1,Tasks[[#This Row],[_LeafProgress]]&gt;=1),IF(N(Tasks[[#This Row],[Actual Finish]])&gt;0,Tasks[[#This Row],[Actual Finish]],Tasks[[#This Row],[_ShownFcstFinish]]),"")</f>
        <v/>
      </c>
      <c r="GK112" s="42" t="n">
        <f aca="false">IF(Tasks[[#This Row],[_IsLeaf]]=1,N(Tasks[[#This Row],[Story Points]]),0)</f>
        <v>0</v>
      </c>
      <c r="GL112" s="42" t="str">
        <f aca="false">""</f>
        <v/>
      </c>
      <c r="GM112" s="88" t="b">
        <f aca="false">IF(Tasks[[#This Row],[Task Name]]="",FALSE(),AND(Tasks[[#This Row],[_IsLeaf]]=1,N(Tasks[[#This Row],[_Days]])=0))</f>
        <v>0</v>
      </c>
      <c r="GN112" s="89" t="n">
        <f aca="false">IF(Tasks[[#This Row],[Task Name]]="",0,IF(AND(Tasks[[#This Row],[_IsLeaf]]=1,NOT(Tasks[[#This Row],[_IsMilestone]]),N(Tasks[[#This Row],[Progress]])&gt;0),Tasks[[#This Row],[Start]],0))</f>
        <v>0</v>
      </c>
      <c r="GO112" s="89" t="n">
        <f aca="false">IF(Tasks[[#This Row],[_DoneFrom]]=0,0,IF(Tasks[[#This Row],[Progress]]&gt;=1,Tasks[[#This Row],[Finish]],MAX(Tasks[[#This Row],[_DoneFrom]],Tasks[[#This Row],[Start]]+ROUND((Tasks[[#This Row],[Finish]]-Tasks[[#This Row],[Start]]+1)*Tasks[[#This Row],[Progress]],0)-1)))</f>
        <v>0</v>
      </c>
      <c r="GP112" s="89" t="n">
        <f aca="false">IF(Tasks[[#This Row],[Task Name]]="",0,IF(OR(NOT(Tasks[[#This Row],[_IsLeaf]]=1),Tasks[[#This Row],[_IsMilestone]],N(Tasks[[#This Row],[Progress]])&gt;=1),0,IF(Tasks[[#This Row],[_DoneTo]]&gt;0,Tasks[[#This Row],[_DoneTo]]+1,Tasks[[#This Row],[Start]])))</f>
        <v>0</v>
      </c>
      <c r="GQ112" s="89" t="n">
        <f aca="false">IF(Tasks[[#This Row],[_RemFrom]]=0,0,Tasks[[#This Row],[Finish]])</f>
        <v>0</v>
      </c>
      <c r="GR112" s="88" t="b">
        <f aca="false">IF(Tasks[[#This Row],[Task Name]]="",FALSE(),OR(NOT(BaselineSet),N(Tasks[[#This Row],[Baseline Start]])&gt;0))</f>
        <v>0</v>
      </c>
      <c r="GS11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2" s="90" t="str">
        <f aca="false">IF(Tasks[[#This Row],[_IsLeaf]]=1,Tasks[[#This Row],[_Row]],"")</f>
        <v/>
      </c>
      <c r="GW112" s="90" t="str">
        <f aca="false">IFERROR(INDEX(Tasks[UID],SMALL(Tasks[_PickKey],Tasks[[#This Row],[_Row]]))&amp;" "&amp;INDEX(Tasks[Task Name],SMALL(Tasks[_PickKey],Tasks[[#This Row],[_Row]])),"")</f>
        <v/>
      </c>
      <c r="GX112" s="42" t="str">
        <f aca="false">IF(Tasks[[#This Row],[Task Name]]="","",IF(Tasks[[#This Row],[_IsSummary]],NETWORKDAYS.INTL(Tasks[[#This Row],[Start]],Tasks[[#This Row],[Finish]],WorkWeek,Holidays),N(Tasks[[#This Row],[_Days]])))</f>
        <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3"/>
      <c r="U113" s="23"/>
      <c r="V113" s="83"/>
      <c r="W113" s="23"/>
      <c r="X113" s="83"/>
      <c r="Y113" s="23"/>
      <c r="Z113" s="83"/>
      <c r="AA113" s="23"/>
      <c r="AB113" s="23"/>
      <c r="AC113" s="7"/>
      <c r="AD113" s="7"/>
      <c r="AE113" s="62" t="str">
        <f aca="false">IF(Tasks[[#This Row],[Task Name]]="","",IF(Tasks[[#This Row],[_IsSummary]],MIN(INDEX(Tasks[_ShownFcstStart],Tasks[[#This Row],[_Row]]+1):INDEX(Tasks[_ShownFcstStart],Tasks[[#This Row],[_Row]]+Tasks[[#This Row],[_Descendants]])),Tasks[[#This Row],[_ShownFcstStart]]))</f>
        <v/>
      </c>
      <c r="AF113" s="62"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3" s="7"/>
      <c r="AK113" s="22"/>
      <c r="AL113" s="23"/>
      <c r="AM113" s="7"/>
      <c r="AN113" s="46"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2" t="str">
        <f aca="false">IF(Tasks[[#This Row],[Task Name]]="","",IF(N(Tasks[[#This Row],[Baseline Start]])&gt;0,Tasks[[#This Row],[Baseline Start]],Tasks[[#This Row],[_CalcStart]]))</f>
        <v/>
      </c>
      <c r="AR113" s="62" t="str">
        <f aca="false">IF(Tasks[[#This Row],[Task Name]]="","",IF(N(Tasks[[#This Row],[Baseline Finish]])&gt;0,Tasks[[#This Row],[Baseline Finish]],Tasks[[#This Row],[_CalcFinish]]))</f>
        <v/>
      </c>
      <c r="AS113" s="46" t="str">
        <f aca="false">IF(Tasks[[#This Row],[Task Name]]="","",IF(Tasks[[#This Row],[Start]]&gt;=Tasks[[#This Row],[Planned Start]],NETWORKDAYS.INTL(Tasks[[#This Row],[Planned Start]],Tasks[[#This Row],[Start]],WorkWeek,Holidays)-1,1-NETWORKDAYS.INTL(Tasks[[#This Row],[Start]],Tasks[[#This Row],[Planned Start]],WorkWeek,Holidays)))</f>
        <v/>
      </c>
      <c r="AT113" s="62" t="str">
        <f aca="false">IF(Tasks[[#This Row],[Task Name]]="","",IF(Tasks[[#This Row],[_IsSummary]],MIN(INDEX(Tasks[_LeafLateStart],Tasks[[#This Row],[_Row]]+1):INDEX(Tasks[_LeafLateStart],Tasks[[#This Row],[_Row]]+Tasks[[#This Row],[_Descendants]])),Tasks[[#This Row],[_LeafLateStart]]))</f>
        <v/>
      </c>
      <c r="AU113" s="62" t="str">
        <f aca="false">IF(Tasks[[#This Row],[Task Name]]="","",IF(Tasks[[#This Row],[_IsSummary]],MAX(INDEX(Tasks[_LeafLateFinish],Tasks[[#This Row],[_Row]]+1):INDEX(Tasks[_LeafLateFinish],Tasks[[#This Row],[_Row]]+Tasks[[#This Row],[_Descendants]])),Tasks[[#This Row],[_LeafLateFinish]]))</f>
        <v/>
      </c>
      <c r="AV113" s="46"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4"/>
      <c r="BA11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5"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6"/>
      <c r="BJ113" s="22"/>
      <c r="BK113" s="46" t="str">
        <f aca="false">IF(OR(Tasks[[#This Row],[Task Name]]="",Tasks[[#This Row],[Baseline Duration]]=""),"",Tasks[[#This Row],[_SpanDays]]-N(Tasks[[#This Row],[Baseline Duration]]))</f>
        <v/>
      </c>
      <c r="BL113" s="85" t="str">
        <f aca="false">IF(OR(Tasks[[#This Row],[Task Name]]="",Tasks[[#This Row],[Baseline Work]]=""),"",Tasks[[#This Row],[Work]]-N(Tasks[[#This Row],[Baseline Work]]))</f>
        <v/>
      </c>
      <c r="BM113" s="62" t="str">
        <f aca="false">IF(Tasks[[#This Row],[Task Name]]="","",IF(OR(TakeBaseline="Yes",N(Tasks[[#This Row],[Baseline Start]])=0),Tasks[[#This Row],[Start]],Tasks[[#This Row],[Baseline Start]]))</f>
        <v/>
      </c>
      <c r="BN113" s="62"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5" t="str">
        <f aca="false">IF(Tasks[[#This Row],[Task Name]]="","",IF(OR(TakeBaseline="Yes",N(Tasks[[#This Row],[Baseline Work]])=0),Tasks[[#This Row],[Work]],Tasks[[#This Row],[Baseline Work]]))</f>
        <v/>
      </c>
      <c r="BQ113" s="7"/>
      <c r="BR113" s="7"/>
      <c r="BS113" s="22"/>
      <c r="BT113" s="87"/>
      <c r="BU113" s="42" t="str">
        <f aca="false">IF(Tasks[[#This Row],[Task Name]]="","",MAX(1,N(Tasks[[#This Row],[Level]])))</f>
        <v/>
      </c>
      <c r="BV113" s="42" t="n">
        <f aca="false">ROW()-ROW(Tasks[[#Headers],[ID]])</f>
        <v>108</v>
      </c>
      <c r="BW113" s="42" t="n">
        <f aca="false">IF(OR(Tasks[[#This Row],[Task Name]]="",Tasks[[#This Row],[_Level]]&lt;=1),0,IFERROR(LOOKUP(2,1/(Tasks[[#Headers],[_Level]]:Tasks[[#This Row],[_Level]]=Tasks[[#This Row],[_Level]]-1),ROW(Tasks[[#Headers],[_Level]]:Tasks[[#This Row],[_Level]])),0))</f>
        <v>0</v>
      </c>
      <c r="BX113" s="42" t="n">
        <f aca="false">IFERROR(N(INDEX(Tasks[_Level],Tasks[[#This Row],[_Row]]+1)),0)</f>
        <v>0</v>
      </c>
      <c r="BY113" s="88" t="b">
        <f aca="false">AND(Tasks[[#This Row],[Task Name]]&lt;&gt;"",Tasks[[#This Row],[_NextLevel]]&gt;Tasks[[#This Row],[_Level]])</f>
        <v>0</v>
      </c>
      <c r="BZ113" s="42" t="n">
        <f aca="false">IF(Tasks[[#This Row],[_IsSummary]],COUNTIF(Tasks[WBS],Tasks[[#This Row],[WBS]]&amp;".*"),0)</f>
        <v>0</v>
      </c>
      <c r="CA113" s="42" t="n">
        <f aca="false">IF(AND(Tasks[[#This Row],[Task Name]]&lt;&gt;"",NOT(Tasks[[#This Row],[_IsSummary]])),1,0)</f>
        <v>0</v>
      </c>
      <c r="CB113" s="42" t="n">
        <f aca="false">IF(N(Tasks[[#This Row],[_Pred1UID]])=0,0,IFERROR(MATCH(Tasks[[#This Row],[_Pred1UID]],Tasks[UID],0),-1))</f>
        <v>0</v>
      </c>
      <c r="CC113" s="42" t="n">
        <f aca="false">IF(N(Tasks[[#This Row],[_Pred2UID]])=0,0,IFERROR(MATCH(Tasks[[#This Row],[_Pred2UID]],Tasks[UID],0),-1))</f>
        <v>0</v>
      </c>
      <c r="CD113" s="42" t="n">
        <f aca="false">IF(N(Tasks[[#This Row],[_Pred3UID]])=0,0,IFERROR(MATCH(Tasks[[#This Row],[_Pred3UID]],Tasks[UID],0),-1))</f>
        <v>0</v>
      </c>
      <c r="CE113" s="42" t="n">
        <f aca="false">IF(N(Tasks[[#This Row],[_Pred4UID]])=0,0,IFERROR(MATCH(Tasks[[#This Row],[_Pred4UID]],Tasks[UID],0),-1))</f>
        <v>0</v>
      </c>
      <c r="CF11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3" s="89" t="n">
        <f aca="false">IF(OR(Tasks[[#This Row],[_ConstraintCode]]=2,Tasks[[#This Row],[_ConstraintCode]]=3,Tasks[[#This Row],[_ConstraintCode]]=4,Tasks[[#This Row],[_ConstraintCode]]=6),Tasks[[#This Row],[_ConstraintStart]],0)</f>
        <v>0</v>
      </c>
      <c r="CI113" s="89" t="n">
        <f aca="false">IF(OR(Tasks[[#This Row],[_ConstraintCode]]=2,Tasks[[#This Row],[_ConstraintCode]]=3,Tasks[[#This Row],[_ConstraintCode]]=5,Tasks[[#This Row],[_ConstraintCode]]=7),Tasks[[#This Row],[_ConstraintStart]],2958465)</f>
        <v>2958465</v>
      </c>
      <c r="CJ11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3" s="89" t="str">
        <f aca="false">IF(NOT(Tasks[[#This Row],[_IsLeaf]]=1),"",IF(N(Tasks[[#This Row],[_Days]])&lt;=0,Tasks[[#This Row],[_LeafCalcStart]],WORKDAY.INTL(Tasks[[#This Row],[_LeafCalcStart]],Tasks[[#This Row],[_Days]]-1,WorkWeek,Holidays)))</f>
        <v/>
      </c>
      <c r="CL11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3" s="42" t="str">
        <f aca="false">IF(Tasks[[#This Row],[_Predecessors]]="","",TRIM(MID(SUBSTITUTE(SUBSTITUTE(SUBSTITUTE(UPPER(Tasks[[#This Row],[_Predecessors]]),";",",")," ",""),",",REPT(" ",99)),1,99)))</f>
        <v/>
      </c>
      <c r="CO113" s="42" t="str">
        <f aca="false">IF(Tasks[[#This Row],[_Pred1Text]]="","",IFERROR(VALUE(LEFT(Tasks[[#This Row],[_Pred1Text]],MIN(FIND("F",Tasks[[#This Row],[_Pred1Text]]&amp;"F"),FIND("S",Tasks[[#This Row],[_Pred1Text]]&amp;"S"),FIND("+",Tasks[[#This Row],[_Pred1Text]]&amp;"+"),FIND("-",Tasks[[#This Row],[_Pred1Text]]&amp;"-"))-1)),""))</f>
        <v/>
      </c>
      <c r="CP1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3" s="42" t="str">
        <f aca="false">IF(Tasks[[#This Row],[_Pred1Text]]="","",TRIM(MID(SUBSTITUTE(SUBSTITUTE(SUBSTITUTE(UPPER(Tasks[[#This Row],[_Predecessors]]),";",",")," ",""),",",REPT(" ",99)),100,99)))</f>
        <v/>
      </c>
      <c r="CS113" s="42" t="str">
        <f aca="false">IF(Tasks[[#This Row],[_Pred2Text]]="","",IFERROR(VALUE(LEFT(Tasks[[#This Row],[_Pred2Text]],MIN(FIND("F",Tasks[[#This Row],[_Pred2Text]]&amp;"F"),FIND("S",Tasks[[#This Row],[_Pred2Text]]&amp;"S"),FIND("+",Tasks[[#This Row],[_Pred2Text]]&amp;"+"),FIND("-",Tasks[[#This Row],[_Pred2Text]]&amp;"-"))-1)),""))</f>
        <v/>
      </c>
      <c r="CT1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3" s="42" t="str">
        <f aca="false">IF(Tasks[[#This Row],[_Pred2Text]]="","",TRIM(MID(SUBSTITUTE(SUBSTITUTE(SUBSTITUTE(UPPER(Tasks[[#This Row],[_Predecessors]]),";",",")," ",""),",",REPT(" ",99)),199,99)))</f>
        <v/>
      </c>
      <c r="CW113" s="42" t="str">
        <f aca="false">IF(Tasks[[#This Row],[_Pred3Text]]="","",IFERROR(VALUE(LEFT(Tasks[[#This Row],[_Pred3Text]],MIN(FIND("F",Tasks[[#This Row],[_Pred3Text]]&amp;"F"),FIND("S",Tasks[[#This Row],[_Pred3Text]]&amp;"S"),FIND("+",Tasks[[#This Row],[_Pred3Text]]&amp;"+"),FIND("-",Tasks[[#This Row],[_Pred3Text]]&amp;"-"))-1)),""))</f>
        <v/>
      </c>
      <c r="CX1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3" s="42" t="str">
        <f aca="false">IF(Tasks[[#This Row],[_Pred3Text]]="","",TRIM(MID(SUBSTITUTE(SUBSTITUTE(SUBSTITUTE(UPPER(Tasks[[#This Row],[_Predecessors]]),";",",")," ",""),",",REPT(" ",99)),298,99)))</f>
        <v/>
      </c>
      <c r="DA113" s="42" t="str">
        <f aca="false">IF(Tasks[[#This Row],[_Pred4Text]]="","",IFERROR(VALUE(LEFT(Tasks[[#This Row],[_Pred4Text]],MIN(FIND("F",Tasks[[#This Row],[_Pred4Text]]&amp;"F"),FIND("S",Tasks[[#This Row],[_Pred4Text]]&amp;"S"),FIND("+",Tasks[[#This Row],[_Pred4Text]]&amp;"+"),FIND("-",Tasks[[#This Row],[_Pred4Text]]&amp;"-"))-1)),""))</f>
        <v/>
      </c>
      <c r="DB1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3" s="42" t="str">
        <f aca="false">IF(OR(Tasks[[#This Row],[Task Name]]="",Tasks[[#This Row],[_Resources]]=""),"",TRIM(MID(SUBSTITUTE(Tasks[[#This Row],[_Resources]],",",REPT(" ",99)),1,99)))</f>
        <v/>
      </c>
      <c r="DE113" s="42" t="str">
        <f aca="false">IF(Tasks[[#This Row],[_Res1Text]]="","",TRIM(MID(SUBSTITUTE(Tasks[[#This Row],[_Resources]],",",REPT(" ",99)),100,99)))</f>
        <v/>
      </c>
      <c r="DF113" s="42" t="str">
        <f aca="false">IF(Tasks[[#This Row],[_Res2Text]]="","",TRIM(MID(SUBSTITUTE(Tasks[[#This Row],[_Resources]],",",REPT(" ",99)),199,99)))</f>
        <v/>
      </c>
      <c r="DG113" s="42" t="str">
        <f aca="false">IF(Tasks[[#This Row],[_Res3Text]]="","",TRIM(MID(SUBSTITUTE(Tasks[[#This Row],[_Resources]],",",REPT(" ",99)),298,99)))</f>
        <v/>
      </c>
      <c r="DH113" s="42" t="n">
        <f aca="false">IF(Tasks[[#This Row],[_Res1Text]]="",0,IFERROR(MATCH(TRIM(LEFT(Tasks[[#This Row],[_Res1Text]],FIND("[",Tasks[[#This Row],[_Res1Text]]&amp;"[")-1)),res_Name,0),IFERROR(MATCH(TRIM(LEFT(Tasks[[#This Row],[_Res1Text]],FIND("[",Tasks[[#This Row],[_Res1Text]]&amp;"[")-1)),res_Initials,0),0)))</f>
        <v>0</v>
      </c>
      <c r="DI113" s="42" t="n">
        <f aca="false">IF(Tasks[[#This Row],[_Res2Text]]="",0,IFERROR(MATCH(TRIM(LEFT(Tasks[[#This Row],[_Res2Text]],FIND("[",Tasks[[#This Row],[_Res2Text]]&amp;"[")-1)),res_Name,0),IFERROR(MATCH(TRIM(LEFT(Tasks[[#This Row],[_Res2Text]],FIND("[",Tasks[[#This Row],[_Res2Text]]&amp;"[")-1)),res_Initials,0),0)))</f>
        <v>0</v>
      </c>
      <c r="DJ113" s="42" t="n">
        <f aca="false">IF(Tasks[[#This Row],[_Res3Text]]="",0,IFERROR(MATCH(TRIM(LEFT(Tasks[[#This Row],[_Res3Text]],FIND("[",Tasks[[#This Row],[_Res3Text]]&amp;"[")-1)),res_Name,0),IFERROR(MATCH(TRIM(LEFT(Tasks[[#This Row],[_Res3Text]],FIND("[",Tasks[[#This Row],[_Res3Text]]&amp;"[")-1)),res_Initials,0),0)))</f>
        <v>0</v>
      </c>
      <c r="DK113" s="42" t="n">
        <f aca="false">IF(Tasks[[#This Row],[_Res4Text]]="",0,IFERROR(MATCH(TRIM(LEFT(Tasks[[#This Row],[_Res4Text]],FIND("[",Tasks[[#This Row],[_Res4Text]]&amp;"[")-1)),res_Name,0),IFERROR(MATCH(TRIM(LEFT(Tasks[[#This Row],[_Res4Text]],FIND("[",Tasks[[#This Row],[_Res4Text]]&amp;"[")-1)),res_Initials,0),0)))</f>
        <v>0</v>
      </c>
      <c r="DL113" s="42" t="str">
        <f aca="false">IF(Tasks[[#This Row],[_Res1Text]]="","",IF(Tasks[[#This Row],[_Res1Row]]&gt;0,INDEX(res_Name,Tasks[[#This Row],[_Res1Row]]),TRIM(LEFT(Tasks[[#This Row],[_Res1Text]],FIND("[",Tasks[[#This Row],[_Res1Text]]&amp;"[")-1))))</f>
        <v/>
      </c>
      <c r="DM1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3" s="42" t="n">
        <f aca="false">IF(NOT(Tasks[[#This Row],[_IsLeaf]]=1),0,(Tasks[[#This Row],[_Resource1]]&lt;&gt;"")+(Tasks[[#This Row],[_Res2]]&lt;&gt;"")+(Tasks[[#This Row],[_Res3]]&lt;&gt;"")+(Tasks[[#This Row],[_Res4]]&lt;&gt;""))</f>
        <v>0</v>
      </c>
      <c r="DO113" s="42" t="str">
        <f aca="false">IF(Tasks[[#This Row],[_Res2Text]]="","",IF(Tasks[[#This Row],[_Res2Row]]&gt;0,INDEX(res_Name,Tasks[[#This Row],[_Res2Row]]),TRIM(LEFT(Tasks[[#This Row],[_Res2Text]],FIND("[",Tasks[[#This Row],[_Res2Text]]&amp;"[")-1))))</f>
        <v/>
      </c>
      <c r="DP1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3" s="42" t="n">
        <f aca="false">IF(OR(NOT(Tasks[[#This Row],[_IsLeaf]]=1),Tasks[[#This Row],[_Res2Row]]=0),0,N(Tasks[[#This Row],[_Days]])*HoursPerDay*IF(Tasks[[#This Row],[_Res2Units]]="",DefaultUnits,Tasks[[#This Row],[_Res2Units]]))</f>
        <v>0</v>
      </c>
      <c r="DR113" s="42" t="n">
        <f aca="false">IF(AND(AND(Tasks[[#This Row],[_IsLeaf]]=1,Tasks[[#This Row],[_LeafTotalWork]]&gt;0),Tasks[[#This Row],[_Res2Work]]&gt;0),Tasks[[#This Row],[_Res2Work]]/(Tasks[[#This Row],[_FinishWorkday]]-Tasks[[#This Row],[_StartWorkday]]+1),0)</f>
        <v>0</v>
      </c>
      <c r="DS113" s="42" t="n">
        <f aca="false">Tasks[[#This Row],[_Res2WorkPerWD]]*MAX(0,Tasks[[#This Row],[_StartWorkday]]-1)</f>
        <v>0</v>
      </c>
      <c r="DT113" s="42" t="n">
        <f aca="false">Tasks[[#This Row],[_Res2Work]]*Tasks[[#This Row],[_LeafProgress]]</f>
        <v>0</v>
      </c>
      <c r="DU113" s="42" t="str">
        <f aca="false">IF(Tasks[[#This Row],[_Res3Text]]="","",IF(Tasks[[#This Row],[_Res3Row]]&gt;0,INDEX(res_Name,Tasks[[#This Row],[_Res3Row]]),TRIM(LEFT(Tasks[[#This Row],[_Res3Text]],FIND("[",Tasks[[#This Row],[_Res3Text]]&amp;"[")-1))))</f>
        <v/>
      </c>
      <c r="DV1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3" s="42" t="n">
        <f aca="false">IF(OR(NOT(Tasks[[#This Row],[_IsLeaf]]=1),Tasks[[#This Row],[_Res3Row]]=0),0,N(Tasks[[#This Row],[_Days]])*HoursPerDay*IF(Tasks[[#This Row],[_Res3Units]]="",DefaultUnits,Tasks[[#This Row],[_Res3Units]]))</f>
        <v>0</v>
      </c>
      <c r="DX113" s="42" t="n">
        <f aca="false">IF(AND(AND(Tasks[[#This Row],[_IsLeaf]]=1,Tasks[[#This Row],[_LeafTotalWork]]&gt;0),Tasks[[#This Row],[_Res3Work]]&gt;0),Tasks[[#This Row],[_Res3Work]]/(Tasks[[#This Row],[_FinishWorkday]]-Tasks[[#This Row],[_StartWorkday]]+1),0)</f>
        <v>0</v>
      </c>
      <c r="DY113" s="42" t="n">
        <f aca="false">Tasks[[#This Row],[_Res3WorkPerWD]]*MAX(0,Tasks[[#This Row],[_StartWorkday]]-1)</f>
        <v>0</v>
      </c>
      <c r="DZ113" s="42" t="n">
        <f aca="false">Tasks[[#This Row],[_Res3Work]]*Tasks[[#This Row],[_LeafProgress]]</f>
        <v>0</v>
      </c>
      <c r="EA113" s="42" t="str">
        <f aca="false">IF(Tasks[[#This Row],[_Res4Text]]="","",IF(Tasks[[#This Row],[_Res4Row]]&gt;0,INDEX(res_Name,Tasks[[#This Row],[_Res4Row]]),TRIM(LEFT(Tasks[[#This Row],[_Res4Text]],FIND("[",Tasks[[#This Row],[_Res4Text]]&amp;"[")-1))))</f>
        <v/>
      </c>
      <c r="EB1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3" s="42" t="n">
        <f aca="false">IF(OR(NOT(Tasks[[#This Row],[_IsLeaf]]=1),Tasks[[#This Row],[_Res4Row]]=0),0,N(Tasks[[#This Row],[_Days]])*HoursPerDay*IF(Tasks[[#This Row],[_Res4Units]]="",DefaultUnits,Tasks[[#This Row],[_Res4Units]]))</f>
        <v>0</v>
      </c>
      <c r="ED113" s="42" t="n">
        <f aca="false">IF(AND(AND(Tasks[[#This Row],[_IsLeaf]]=1,Tasks[[#This Row],[_LeafTotalWork]]&gt;0),Tasks[[#This Row],[_Res4Work]]&gt;0),Tasks[[#This Row],[_Res4Work]]/(Tasks[[#This Row],[_FinishWorkday]]-Tasks[[#This Row],[_StartWorkday]]+1),0)</f>
        <v>0</v>
      </c>
      <c r="EE113" s="42" t="n">
        <f aca="false">Tasks[[#This Row],[_Res4WorkPerWD]]*MAX(0,Tasks[[#This Row],[_StartWorkday]]-1)</f>
        <v>0</v>
      </c>
      <c r="EF113" s="42" t="n">
        <f aca="false">Tasks[[#This Row],[_Res4Work]]*Tasks[[#This Row],[_LeafProgress]]</f>
        <v>0</v>
      </c>
      <c r="EG113" s="42" t="n">
        <f aca="false">IF(ISNUMBER(Tasks[[#This Row],[% Complete]]),Tasks[[#This Row],[% Complete]],IF(Tasks[[#This Row],[Stage]]="",0,IFERROR(INDEX(stg_Pct,MATCH(Tasks[[#This Row],[Stage]],stg_Name,0)),0)))</f>
        <v>0</v>
      </c>
      <c r="EH113" s="42" t="n">
        <f aca="false">IF(NOT(Tasks[[#This Row],[_IsLeaf]]=1),0,IF(N(Tasks[[#This Row],[Actual Finish]])&gt;0,1,MIN(1,Tasks[[#This Row],[_Pct]])))</f>
        <v>0</v>
      </c>
      <c r="EI113" s="42" t="n">
        <f aca="false">IF(OR(NOT(Tasks[[#This Row],[_IsLeaf]]=1),Tasks[[#This Row],[_Res1Row]]=0),0,N(Tasks[[#This Row],[_Days]])*HoursPerDay*IF(Tasks[[#This Row],[_Units1]]="",DefaultUnits,Tasks[[#This Row],[_Units1]]))</f>
        <v>0</v>
      </c>
      <c r="EJ113" s="42" t="n">
        <f aca="false">Tasks[[#This Row],[_LeafWork]]+Tasks[[#This Row],[_Res2Work]]+Tasks[[#This Row],[_Res3Work]]+Tasks[[#This Row],[_Res4Work]]</f>
        <v>0</v>
      </c>
      <c r="EK11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3" s="42" t="n">
        <f aca="false">IF(NOT(Tasks[[#This Row],[_IsLeaf]]=1),0,MAX(_xlfn.MAXIFS(Tasks[_Row],Tasks[_Pred1UID],Tasks[[#This Row],[UID]]),_xlfn.MAXIFS(Tasks[_Row],Tasks[_Pred2UID],Tasks[[#This Row],[UID]]),_xlfn.MAXIFS(Tasks[_Row],Tasks[_Pred3UID],Tasks[[#This Row],[UID]]),_xlfn.MAXIFS(Tasks[_Row],Tasks[_Pred4UID],Tasks[[#This Row],[UID]])))</f>
        <v>0</v>
      </c>
      <c r="ET11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3" s="89" t="str">
        <f aca="false">IF(NOT(Tasks[[#This Row],[_IsLeaf]]=1),"",IF(N(Tasks[[#This Row],[_Days]])&lt;=0,Tasks[[#This Row],[_LeafLateFinish]],WORKDAY.INTL(Tasks[[#This Row],[_LeafLateFinish]],-(Tasks[[#This Row],[_Days]]-1),WorkWeek,Holidays)))</f>
        <v/>
      </c>
      <c r="EW11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3" s="88" t="b">
        <f aca="false">AND(Tasks[[#This Row],[_IsLeaf]]=1,Tasks[[#This Row],[_LeafProgress]]&lt;1,N(Tasks[[#This Row],[_LeafTotalSlack]])&lt;=CriticalSlackDays)</f>
        <v>0</v>
      </c>
      <c r="EY113" s="42" t="n">
        <f aca="false">IF(AND(Tasks[[#This Row],[_IsLeaf]]=1,Tasks[[#This Row],[_ConstraintCode]]=1,Tasks[[#This Row],[Mode]]&lt;&gt;"Manual",N(Tasks[[#This Row],[Actual Start]])=0),MAX(0,N(Tasks[[#This Row],[Free Slack]])),0)</f>
        <v>0</v>
      </c>
      <c r="EZ113" s="89" t="str">
        <f aca="false">IF(NOT(Tasks[[#This Row],[_IsLeaf]]=1),"",IF(Tasks[[#This Row],[_AlapShift]]=0,Tasks[[#This Row],[_LeafCalcStart]],WORKDAY.INTL(Tasks[[#This Row],[_LeafCalcStart]],Tasks[[#This Row],[_AlapShift]],WorkWeek,Holidays)))</f>
        <v/>
      </c>
      <c r="FA113" s="89" t="str">
        <f aca="false">IF(NOT(Tasks[[#This Row],[_IsLeaf]]=1),"",IF(Tasks[[#This Row],[_AlapShift]]=0,Tasks[[#This Row],[_LeafCalcFinish]],WORKDAY.INTL(Tasks[[#This Row],[_LeafCalcFinish]],Tasks[[#This Row],[_AlapShift]],WorkWeek,Holidays)))</f>
        <v/>
      </c>
      <c r="FB113" s="89" t="str">
        <f aca="false">IF(NOT(Tasks[[#This Row],[_IsLeaf]]=1),"",IF(Tasks[[#This Row],[_AlapShift]]=0,Tasks[[#This Row],[_LeafFcstStart]],WORKDAY.INTL(Tasks[[#This Row],[_LeafFcstStart]],Tasks[[#This Row],[_AlapShift]],WorkWeek,Holidays)))</f>
        <v/>
      </c>
      <c r="FC113" s="89" t="str">
        <f aca="false">IF(NOT(Tasks[[#This Row],[_IsLeaf]]=1),"",IF(Tasks[[#This Row],[_AlapShift]]=0,Tasks[[#This Row],[_LeafFcstFinish]],WORKDAY.INTL(Tasks[[#This Row],[_LeafFcstFinish]],Tasks[[#This Row],[_AlapShift]],WorkWeek,Holidays)))</f>
        <v/>
      </c>
      <c r="FD113" s="89" t="str">
        <f aca="false">IF(Tasks[[#This Row],[Task Name]]="","",IF(Tasks[[#This Row],[_IsSummary]],MIN(INDEX(Tasks[_ShownCalcStart],Tasks[[#This Row],[_Row]]+1):INDEX(Tasks[_ShownCalcStart],Tasks[[#This Row],[_Row]]+Tasks[[#This Row],[_Descendants]])),Tasks[[#This Row],[_ShownCalcStart]]))</f>
        <v/>
      </c>
      <c r="FE113" s="89" t="str">
        <f aca="false">IF(Tasks[[#This Row],[Task Name]]="","",IF(Tasks[[#This Row],[_IsSummary]],MAX(INDEX(Tasks[_ShownCalcFinish],Tasks[[#This Row],[_Row]]+1):INDEX(Tasks[_ShownCalcFinish],Tasks[[#This Row],[_Row]]+Tasks[[#This Row],[_Descendants]])),Tasks[[#This Row],[_ShownCalcFinish]]))</f>
        <v/>
      </c>
      <c r="FF1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3" s="42" t="n">
        <f aca="false">IF(AND(Tasks[[#This Row],[_IsLeaf]]=1,Tasks[[#This Row],[_LeafTotalWork]]&gt;0),NETWORKDAYS.INTL(ProjectStart,Tasks[[#This Row],[_ShownFcstStart]],WorkWeek,Holidays),0)</f>
        <v>0</v>
      </c>
      <c r="FS113" s="42" t="n">
        <f aca="false">IF(AND(Tasks[[#This Row],[_IsLeaf]]=1,Tasks[[#This Row],[_LeafTotalWork]]&gt;0),MAX(Tasks[[#This Row],[_StartWorkday]],NETWORKDAYS.INTL(ProjectStart,Tasks[[#This Row],[_ShownFcstFinish]],WorkWeek,Holidays)),0)</f>
        <v>0</v>
      </c>
      <c r="FT113" s="42" t="n">
        <f aca="false">IF(AND(Tasks[[#This Row],[_IsLeaf]]=1,Tasks[[#This Row],[_LeafTotalWork]]&gt;0),Tasks[[#This Row],[_LeafWork]]/(Tasks[[#This Row],[_FinishWorkday]]-Tasks[[#This Row],[_StartWorkday]]+1),0)</f>
        <v>0</v>
      </c>
      <c r="FU113" s="42" t="n">
        <f aca="false">Tasks[[#This Row],[_WorkPerWorkday]]*(Tasks[[#This Row],[_StartWorkday]]-1)</f>
        <v>-0</v>
      </c>
      <c r="FV113" s="42" t="n">
        <f aca="false">IF(Tasks[[#This Row],[_IsLeaf]]=1,MAX(N(Tasks[[#This Row],[_Days]]),0.1),0)</f>
        <v>0</v>
      </c>
      <c r="FW113" s="42" t="n">
        <f aca="false">Tasks[[#This Row],[_WeightDur]]*Tasks[[#This Row],[_LeafProgress]]</f>
        <v>0</v>
      </c>
      <c r="FX113" s="42" t="n">
        <f aca="false">Tasks[[#This Row],[_WeightDur]]*Tasks[[#This Row],[_PlannedPct]]</f>
        <v>0</v>
      </c>
      <c r="FY1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3" s="42" t="str">
        <f aca="false">IF(AND(Tasks[[#This Row],[_IsLeaf]]=1,N(Tasks[[#This Row],[_Days]])=0,Tasks[[#This Row],[_LeafProgress]]&lt;1),Tasks[[#This Row],[_ShownFcstFinish]]+Tasks[[#This Row],[_Row]]/100000,"")</f>
        <v/>
      </c>
      <c r="GA1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3" s="42" t="str">
        <f aca="false">IF(Tasks[[#This Row],[Task Name]]="","",LEFT(Tasks[[#This Row],[WBS]],FIND(".",Tasks[[#This Row],[WBS]]&amp;".")-1))</f>
        <v/>
      </c>
      <c r="GC113" s="42" t="str">
        <f aca="false">IF(AND(Tasks[[#This Row],[Task Name]]&lt;&gt;"",Tasks[[#This Row],[_Level]]=1),Tasks[[#This Row],[_Row]],"")</f>
        <v/>
      </c>
      <c r="GD113" s="42" t="str">
        <f aca="false">IF(AND(Tasks[[#This Row],[_IsLeaf]]=1,N(Tasks[[#This Row],[_Days]])=0),Tasks[[#This Row],[Planned Finish]]+Tasks[[#This Row],[_Row]]/100000,"")</f>
        <v/>
      </c>
      <c r="GE113" s="42" t="str">
        <f aca="false">IF(AND(Tasks[[#This Row],[_IsLeaf]]=1,Tasks[[#This Row],[_LeafProgress]]&lt;1,OR(N(Tasks[[#This Row],[Finish Var]])&gt;0,Tasks[[#This Row],[Status]]="Late Start")),MAX(0,Tasks[[#This Row],[Finish Var]])+1-Tasks[[#This Row],[_Row]]/1000000,"")</f>
        <v/>
      </c>
      <c r="GF113" s="42" t="str">
        <f aca="false">IF(AND(Tasks[[#This Row],[_IsLeaf]]=1,N(Tasks[[#This Row],[Actual Start]])=0,Tasks[[#This Row],[_ShownFcstStart]]&gt;=StatusDate,Tasks[[#This Row],[_ShownFcstStart]]&lt;=LookaheadEnd),Tasks[[#This Row],[_ShownFcstStart]]+Tasks[[#This Row],[_Row]]/100000,"")</f>
        <v/>
      </c>
      <c r="GG113" s="42" t="str">
        <f aca="false">IF(AND(Tasks[[#This Row],[_IsLeaf]]=1,Tasks[[#This Row],[_LeafProgress]]&lt;1,Tasks[[#This Row],[_ShownFcstFinish]]&gt;=StatusDate,Tasks[[#This Row],[_ShownFcstFinish]]&lt;=LookaheadEnd),Tasks[[#This Row],[_ShownFcstFinish]]+Tasks[[#This Row],[_Row]]/100000,"")</f>
        <v/>
      </c>
      <c r="GH113" s="42" t="str">
        <f aca="false">IF(Tasks[[#This Row],[_LeafCritical]],Tasks[[#This Row],[_ShownFcstStart]]+Tasks[[#This Row],[_Row]]/100000,"")</f>
        <v/>
      </c>
      <c r="GI113" s="42" t="n">
        <f aca="false">Tasks[[#This Row],[_LeafWork]]*Tasks[[#This Row],[_LeafProgress]]</f>
        <v>0</v>
      </c>
      <c r="GJ113" s="89" t="str">
        <f aca="false">IF(AND(Tasks[[#This Row],[_IsLeaf]]=1,Tasks[[#This Row],[_LeafProgress]]&gt;=1),IF(N(Tasks[[#This Row],[Actual Finish]])&gt;0,Tasks[[#This Row],[Actual Finish]],Tasks[[#This Row],[_ShownFcstFinish]]),"")</f>
        <v/>
      </c>
      <c r="GK113" s="42" t="n">
        <f aca="false">IF(Tasks[[#This Row],[_IsLeaf]]=1,N(Tasks[[#This Row],[Story Points]]),0)</f>
        <v>0</v>
      </c>
      <c r="GL113" s="42" t="str">
        <f aca="false">""</f>
        <v/>
      </c>
      <c r="GM113" s="88" t="b">
        <f aca="false">IF(Tasks[[#This Row],[Task Name]]="",FALSE(),AND(Tasks[[#This Row],[_IsLeaf]]=1,N(Tasks[[#This Row],[_Days]])=0))</f>
        <v>0</v>
      </c>
      <c r="GN113" s="89" t="n">
        <f aca="false">IF(Tasks[[#This Row],[Task Name]]="",0,IF(AND(Tasks[[#This Row],[_IsLeaf]]=1,NOT(Tasks[[#This Row],[_IsMilestone]]),N(Tasks[[#This Row],[Progress]])&gt;0),Tasks[[#This Row],[Start]],0))</f>
        <v>0</v>
      </c>
      <c r="GO113" s="89" t="n">
        <f aca="false">IF(Tasks[[#This Row],[_DoneFrom]]=0,0,IF(Tasks[[#This Row],[Progress]]&gt;=1,Tasks[[#This Row],[Finish]],MAX(Tasks[[#This Row],[_DoneFrom]],Tasks[[#This Row],[Start]]+ROUND((Tasks[[#This Row],[Finish]]-Tasks[[#This Row],[Start]]+1)*Tasks[[#This Row],[Progress]],0)-1)))</f>
        <v>0</v>
      </c>
      <c r="GP113" s="89" t="n">
        <f aca="false">IF(Tasks[[#This Row],[Task Name]]="",0,IF(OR(NOT(Tasks[[#This Row],[_IsLeaf]]=1),Tasks[[#This Row],[_IsMilestone]],N(Tasks[[#This Row],[Progress]])&gt;=1),0,IF(Tasks[[#This Row],[_DoneTo]]&gt;0,Tasks[[#This Row],[_DoneTo]]+1,Tasks[[#This Row],[Start]])))</f>
        <v>0</v>
      </c>
      <c r="GQ113" s="89" t="n">
        <f aca="false">IF(Tasks[[#This Row],[_RemFrom]]=0,0,Tasks[[#This Row],[Finish]])</f>
        <v>0</v>
      </c>
      <c r="GR113" s="88" t="b">
        <f aca="false">IF(Tasks[[#This Row],[Task Name]]="",FALSE(),OR(NOT(BaselineSet),N(Tasks[[#This Row],[Baseline Start]])&gt;0))</f>
        <v>0</v>
      </c>
      <c r="GS11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3" s="90" t="str">
        <f aca="false">IF(Tasks[[#This Row],[_IsLeaf]]=1,Tasks[[#This Row],[_Row]],"")</f>
        <v/>
      </c>
      <c r="GW113" s="90" t="str">
        <f aca="false">IFERROR(INDEX(Tasks[UID],SMALL(Tasks[_PickKey],Tasks[[#This Row],[_Row]]))&amp;" "&amp;INDEX(Tasks[Task Name],SMALL(Tasks[_PickKey],Tasks[[#This Row],[_Row]])),"")</f>
        <v/>
      </c>
      <c r="GX113" s="42" t="str">
        <f aca="false">IF(Tasks[[#This Row],[Task Name]]="","",IF(Tasks[[#This Row],[_IsSummary]],NETWORKDAYS.INTL(Tasks[[#This Row],[Start]],Tasks[[#This Row],[Finish]],WorkWeek,Holidays),N(Tasks[[#This Row],[_Days]])))</f>
        <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3"/>
      <c r="U114" s="23"/>
      <c r="V114" s="83"/>
      <c r="W114" s="23"/>
      <c r="X114" s="83"/>
      <c r="Y114" s="23"/>
      <c r="Z114" s="83"/>
      <c r="AA114" s="23"/>
      <c r="AB114" s="23"/>
      <c r="AC114" s="7"/>
      <c r="AD114" s="7"/>
      <c r="AE114" s="62" t="str">
        <f aca="false">IF(Tasks[[#This Row],[Task Name]]="","",IF(Tasks[[#This Row],[_IsSummary]],MIN(INDEX(Tasks[_ShownFcstStart],Tasks[[#This Row],[_Row]]+1):INDEX(Tasks[_ShownFcstStart],Tasks[[#This Row],[_Row]]+Tasks[[#This Row],[_Descendants]])),Tasks[[#This Row],[_ShownFcstStart]]))</f>
        <v/>
      </c>
      <c r="AF114" s="62"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4" s="7"/>
      <c r="AK114" s="22"/>
      <c r="AL114" s="23"/>
      <c r="AM114" s="7"/>
      <c r="AN114" s="46"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2" t="str">
        <f aca="false">IF(Tasks[[#This Row],[Task Name]]="","",IF(N(Tasks[[#This Row],[Baseline Start]])&gt;0,Tasks[[#This Row],[Baseline Start]],Tasks[[#This Row],[_CalcStart]]))</f>
        <v/>
      </c>
      <c r="AR114" s="62" t="str">
        <f aca="false">IF(Tasks[[#This Row],[Task Name]]="","",IF(N(Tasks[[#This Row],[Baseline Finish]])&gt;0,Tasks[[#This Row],[Baseline Finish]],Tasks[[#This Row],[_CalcFinish]]))</f>
        <v/>
      </c>
      <c r="AS114" s="46" t="str">
        <f aca="false">IF(Tasks[[#This Row],[Task Name]]="","",IF(Tasks[[#This Row],[Start]]&gt;=Tasks[[#This Row],[Planned Start]],NETWORKDAYS.INTL(Tasks[[#This Row],[Planned Start]],Tasks[[#This Row],[Start]],WorkWeek,Holidays)-1,1-NETWORKDAYS.INTL(Tasks[[#This Row],[Start]],Tasks[[#This Row],[Planned Start]],WorkWeek,Holidays)))</f>
        <v/>
      </c>
      <c r="AT114" s="62" t="str">
        <f aca="false">IF(Tasks[[#This Row],[Task Name]]="","",IF(Tasks[[#This Row],[_IsSummary]],MIN(INDEX(Tasks[_LeafLateStart],Tasks[[#This Row],[_Row]]+1):INDEX(Tasks[_LeafLateStart],Tasks[[#This Row],[_Row]]+Tasks[[#This Row],[_Descendants]])),Tasks[[#This Row],[_LeafLateStart]]))</f>
        <v/>
      </c>
      <c r="AU114" s="62" t="str">
        <f aca="false">IF(Tasks[[#This Row],[Task Name]]="","",IF(Tasks[[#This Row],[_IsSummary]],MAX(INDEX(Tasks[_LeafLateFinish],Tasks[[#This Row],[_Row]]+1):INDEX(Tasks[_LeafLateFinish],Tasks[[#This Row],[_Row]]+Tasks[[#This Row],[_Descendants]])),Tasks[[#This Row],[_LeafLateFinish]]))</f>
        <v/>
      </c>
      <c r="AV114" s="46"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4"/>
      <c r="BA11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5"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6"/>
      <c r="BJ114" s="22"/>
      <c r="BK114" s="46" t="str">
        <f aca="false">IF(OR(Tasks[[#This Row],[Task Name]]="",Tasks[[#This Row],[Baseline Duration]]=""),"",Tasks[[#This Row],[_SpanDays]]-N(Tasks[[#This Row],[Baseline Duration]]))</f>
        <v/>
      </c>
      <c r="BL114" s="85" t="str">
        <f aca="false">IF(OR(Tasks[[#This Row],[Task Name]]="",Tasks[[#This Row],[Baseline Work]]=""),"",Tasks[[#This Row],[Work]]-N(Tasks[[#This Row],[Baseline Work]]))</f>
        <v/>
      </c>
      <c r="BM114" s="62" t="str">
        <f aca="false">IF(Tasks[[#This Row],[Task Name]]="","",IF(OR(TakeBaseline="Yes",N(Tasks[[#This Row],[Baseline Start]])=0),Tasks[[#This Row],[Start]],Tasks[[#This Row],[Baseline Start]]))</f>
        <v/>
      </c>
      <c r="BN114" s="62"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5" t="str">
        <f aca="false">IF(Tasks[[#This Row],[Task Name]]="","",IF(OR(TakeBaseline="Yes",N(Tasks[[#This Row],[Baseline Work]])=0),Tasks[[#This Row],[Work]],Tasks[[#This Row],[Baseline Work]]))</f>
        <v/>
      </c>
      <c r="BQ114" s="7"/>
      <c r="BR114" s="7"/>
      <c r="BS114" s="22"/>
      <c r="BT114" s="87"/>
      <c r="BU114" s="42" t="str">
        <f aca="false">IF(Tasks[[#This Row],[Task Name]]="","",MAX(1,N(Tasks[[#This Row],[Level]])))</f>
        <v/>
      </c>
      <c r="BV114" s="42" t="n">
        <f aca="false">ROW()-ROW(Tasks[[#Headers],[ID]])</f>
        <v>109</v>
      </c>
      <c r="BW114" s="42" t="n">
        <f aca="false">IF(OR(Tasks[[#This Row],[Task Name]]="",Tasks[[#This Row],[_Level]]&lt;=1),0,IFERROR(LOOKUP(2,1/(Tasks[[#Headers],[_Level]]:Tasks[[#This Row],[_Level]]=Tasks[[#This Row],[_Level]]-1),ROW(Tasks[[#Headers],[_Level]]:Tasks[[#This Row],[_Level]])),0))</f>
        <v>0</v>
      </c>
      <c r="BX114" s="42" t="n">
        <f aca="false">IFERROR(N(INDEX(Tasks[_Level],Tasks[[#This Row],[_Row]]+1)),0)</f>
        <v>0</v>
      </c>
      <c r="BY114" s="88" t="b">
        <f aca="false">AND(Tasks[[#This Row],[Task Name]]&lt;&gt;"",Tasks[[#This Row],[_NextLevel]]&gt;Tasks[[#This Row],[_Level]])</f>
        <v>0</v>
      </c>
      <c r="BZ114" s="42" t="n">
        <f aca="false">IF(Tasks[[#This Row],[_IsSummary]],COUNTIF(Tasks[WBS],Tasks[[#This Row],[WBS]]&amp;".*"),0)</f>
        <v>0</v>
      </c>
      <c r="CA114" s="42" t="n">
        <f aca="false">IF(AND(Tasks[[#This Row],[Task Name]]&lt;&gt;"",NOT(Tasks[[#This Row],[_IsSummary]])),1,0)</f>
        <v>0</v>
      </c>
      <c r="CB114" s="42" t="n">
        <f aca="false">IF(N(Tasks[[#This Row],[_Pred1UID]])=0,0,IFERROR(MATCH(Tasks[[#This Row],[_Pred1UID]],Tasks[UID],0),-1))</f>
        <v>0</v>
      </c>
      <c r="CC114" s="42" t="n">
        <f aca="false">IF(N(Tasks[[#This Row],[_Pred2UID]])=0,0,IFERROR(MATCH(Tasks[[#This Row],[_Pred2UID]],Tasks[UID],0),-1))</f>
        <v>0</v>
      </c>
      <c r="CD114" s="42" t="n">
        <f aca="false">IF(N(Tasks[[#This Row],[_Pred3UID]])=0,0,IFERROR(MATCH(Tasks[[#This Row],[_Pred3UID]],Tasks[UID],0),-1))</f>
        <v>0</v>
      </c>
      <c r="CE114" s="42" t="n">
        <f aca="false">IF(N(Tasks[[#This Row],[_Pred4UID]])=0,0,IFERROR(MATCH(Tasks[[#This Row],[_Pred4UID]],Tasks[UID],0),-1))</f>
        <v>0</v>
      </c>
      <c r="CF1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4" s="89" t="n">
        <f aca="false">IF(OR(Tasks[[#This Row],[_ConstraintCode]]=2,Tasks[[#This Row],[_ConstraintCode]]=3,Tasks[[#This Row],[_ConstraintCode]]=4,Tasks[[#This Row],[_ConstraintCode]]=6),Tasks[[#This Row],[_ConstraintStart]],0)</f>
        <v>0</v>
      </c>
      <c r="CI114" s="89" t="n">
        <f aca="false">IF(OR(Tasks[[#This Row],[_ConstraintCode]]=2,Tasks[[#This Row],[_ConstraintCode]]=3,Tasks[[#This Row],[_ConstraintCode]]=5,Tasks[[#This Row],[_ConstraintCode]]=7),Tasks[[#This Row],[_ConstraintStart]],2958465)</f>
        <v>2958465</v>
      </c>
      <c r="CJ1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4" s="89" t="str">
        <f aca="false">IF(NOT(Tasks[[#This Row],[_IsLeaf]]=1),"",IF(N(Tasks[[#This Row],[_Days]])&lt;=0,Tasks[[#This Row],[_LeafCalcStart]],WORKDAY.INTL(Tasks[[#This Row],[_LeafCalcStart]],Tasks[[#This Row],[_Days]]-1,WorkWeek,Holidays)))</f>
        <v/>
      </c>
      <c r="CL1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4" s="42" t="str">
        <f aca="false">IF(Tasks[[#This Row],[_Predecessors]]="","",TRIM(MID(SUBSTITUTE(SUBSTITUTE(SUBSTITUTE(UPPER(Tasks[[#This Row],[_Predecessors]]),";",",")," ",""),",",REPT(" ",99)),1,99)))</f>
        <v/>
      </c>
      <c r="CO114" s="42" t="str">
        <f aca="false">IF(Tasks[[#This Row],[_Pred1Text]]="","",IFERROR(VALUE(LEFT(Tasks[[#This Row],[_Pred1Text]],MIN(FIND("F",Tasks[[#This Row],[_Pred1Text]]&amp;"F"),FIND("S",Tasks[[#This Row],[_Pred1Text]]&amp;"S"),FIND("+",Tasks[[#This Row],[_Pred1Text]]&amp;"+"),FIND("-",Tasks[[#This Row],[_Pred1Text]]&amp;"-"))-1)),""))</f>
        <v/>
      </c>
      <c r="CP1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4" s="42" t="str">
        <f aca="false">IF(Tasks[[#This Row],[_Pred1Text]]="","",TRIM(MID(SUBSTITUTE(SUBSTITUTE(SUBSTITUTE(UPPER(Tasks[[#This Row],[_Predecessors]]),";",",")," ",""),",",REPT(" ",99)),100,99)))</f>
        <v/>
      </c>
      <c r="CS114" s="42" t="str">
        <f aca="false">IF(Tasks[[#This Row],[_Pred2Text]]="","",IFERROR(VALUE(LEFT(Tasks[[#This Row],[_Pred2Text]],MIN(FIND("F",Tasks[[#This Row],[_Pred2Text]]&amp;"F"),FIND("S",Tasks[[#This Row],[_Pred2Text]]&amp;"S"),FIND("+",Tasks[[#This Row],[_Pred2Text]]&amp;"+"),FIND("-",Tasks[[#This Row],[_Pred2Text]]&amp;"-"))-1)),""))</f>
        <v/>
      </c>
      <c r="CT1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4" s="42" t="str">
        <f aca="false">IF(Tasks[[#This Row],[_Pred2Text]]="","",TRIM(MID(SUBSTITUTE(SUBSTITUTE(SUBSTITUTE(UPPER(Tasks[[#This Row],[_Predecessors]]),";",",")," ",""),",",REPT(" ",99)),199,99)))</f>
        <v/>
      </c>
      <c r="CW114" s="42" t="str">
        <f aca="false">IF(Tasks[[#This Row],[_Pred3Text]]="","",IFERROR(VALUE(LEFT(Tasks[[#This Row],[_Pred3Text]],MIN(FIND("F",Tasks[[#This Row],[_Pred3Text]]&amp;"F"),FIND("S",Tasks[[#This Row],[_Pred3Text]]&amp;"S"),FIND("+",Tasks[[#This Row],[_Pred3Text]]&amp;"+"),FIND("-",Tasks[[#This Row],[_Pred3Text]]&amp;"-"))-1)),""))</f>
        <v/>
      </c>
      <c r="CX1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4" s="42" t="str">
        <f aca="false">IF(Tasks[[#This Row],[_Pred3Text]]="","",TRIM(MID(SUBSTITUTE(SUBSTITUTE(SUBSTITUTE(UPPER(Tasks[[#This Row],[_Predecessors]]),";",",")," ",""),",",REPT(" ",99)),298,99)))</f>
        <v/>
      </c>
      <c r="DA114" s="42" t="str">
        <f aca="false">IF(Tasks[[#This Row],[_Pred4Text]]="","",IFERROR(VALUE(LEFT(Tasks[[#This Row],[_Pred4Text]],MIN(FIND("F",Tasks[[#This Row],[_Pred4Text]]&amp;"F"),FIND("S",Tasks[[#This Row],[_Pred4Text]]&amp;"S"),FIND("+",Tasks[[#This Row],[_Pred4Text]]&amp;"+"),FIND("-",Tasks[[#This Row],[_Pred4Text]]&amp;"-"))-1)),""))</f>
        <v/>
      </c>
      <c r="DB1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4" s="42" t="str">
        <f aca="false">IF(OR(Tasks[[#This Row],[Task Name]]="",Tasks[[#This Row],[_Resources]]=""),"",TRIM(MID(SUBSTITUTE(Tasks[[#This Row],[_Resources]],",",REPT(" ",99)),1,99)))</f>
        <v/>
      </c>
      <c r="DE114" s="42" t="str">
        <f aca="false">IF(Tasks[[#This Row],[_Res1Text]]="","",TRIM(MID(SUBSTITUTE(Tasks[[#This Row],[_Resources]],",",REPT(" ",99)),100,99)))</f>
        <v/>
      </c>
      <c r="DF114" s="42" t="str">
        <f aca="false">IF(Tasks[[#This Row],[_Res2Text]]="","",TRIM(MID(SUBSTITUTE(Tasks[[#This Row],[_Resources]],",",REPT(" ",99)),199,99)))</f>
        <v/>
      </c>
      <c r="DG114" s="42" t="str">
        <f aca="false">IF(Tasks[[#This Row],[_Res3Text]]="","",TRIM(MID(SUBSTITUTE(Tasks[[#This Row],[_Resources]],",",REPT(" ",99)),298,99)))</f>
        <v/>
      </c>
      <c r="DH114" s="42" t="n">
        <f aca="false">IF(Tasks[[#This Row],[_Res1Text]]="",0,IFERROR(MATCH(TRIM(LEFT(Tasks[[#This Row],[_Res1Text]],FIND("[",Tasks[[#This Row],[_Res1Text]]&amp;"[")-1)),res_Name,0),IFERROR(MATCH(TRIM(LEFT(Tasks[[#This Row],[_Res1Text]],FIND("[",Tasks[[#This Row],[_Res1Text]]&amp;"[")-1)),res_Initials,0),0)))</f>
        <v>0</v>
      </c>
      <c r="DI114" s="42" t="n">
        <f aca="false">IF(Tasks[[#This Row],[_Res2Text]]="",0,IFERROR(MATCH(TRIM(LEFT(Tasks[[#This Row],[_Res2Text]],FIND("[",Tasks[[#This Row],[_Res2Text]]&amp;"[")-1)),res_Name,0),IFERROR(MATCH(TRIM(LEFT(Tasks[[#This Row],[_Res2Text]],FIND("[",Tasks[[#This Row],[_Res2Text]]&amp;"[")-1)),res_Initials,0),0)))</f>
        <v>0</v>
      </c>
      <c r="DJ114" s="42" t="n">
        <f aca="false">IF(Tasks[[#This Row],[_Res3Text]]="",0,IFERROR(MATCH(TRIM(LEFT(Tasks[[#This Row],[_Res3Text]],FIND("[",Tasks[[#This Row],[_Res3Text]]&amp;"[")-1)),res_Name,0),IFERROR(MATCH(TRIM(LEFT(Tasks[[#This Row],[_Res3Text]],FIND("[",Tasks[[#This Row],[_Res3Text]]&amp;"[")-1)),res_Initials,0),0)))</f>
        <v>0</v>
      </c>
      <c r="DK114" s="42" t="n">
        <f aca="false">IF(Tasks[[#This Row],[_Res4Text]]="",0,IFERROR(MATCH(TRIM(LEFT(Tasks[[#This Row],[_Res4Text]],FIND("[",Tasks[[#This Row],[_Res4Text]]&amp;"[")-1)),res_Name,0),IFERROR(MATCH(TRIM(LEFT(Tasks[[#This Row],[_Res4Text]],FIND("[",Tasks[[#This Row],[_Res4Text]]&amp;"[")-1)),res_Initials,0),0)))</f>
        <v>0</v>
      </c>
      <c r="DL114" s="42" t="str">
        <f aca="false">IF(Tasks[[#This Row],[_Res1Text]]="","",IF(Tasks[[#This Row],[_Res1Row]]&gt;0,INDEX(res_Name,Tasks[[#This Row],[_Res1Row]]),TRIM(LEFT(Tasks[[#This Row],[_Res1Text]],FIND("[",Tasks[[#This Row],[_Res1Text]]&amp;"[")-1))))</f>
        <v/>
      </c>
      <c r="DM1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4" s="42" t="n">
        <f aca="false">IF(NOT(Tasks[[#This Row],[_IsLeaf]]=1),0,(Tasks[[#This Row],[_Resource1]]&lt;&gt;"")+(Tasks[[#This Row],[_Res2]]&lt;&gt;"")+(Tasks[[#This Row],[_Res3]]&lt;&gt;"")+(Tasks[[#This Row],[_Res4]]&lt;&gt;""))</f>
        <v>0</v>
      </c>
      <c r="DO114" s="42" t="str">
        <f aca="false">IF(Tasks[[#This Row],[_Res2Text]]="","",IF(Tasks[[#This Row],[_Res2Row]]&gt;0,INDEX(res_Name,Tasks[[#This Row],[_Res2Row]]),TRIM(LEFT(Tasks[[#This Row],[_Res2Text]],FIND("[",Tasks[[#This Row],[_Res2Text]]&amp;"[")-1))))</f>
        <v/>
      </c>
      <c r="DP1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4" s="42" t="n">
        <f aca="false">IF(OR(NOT(Tasks[[#This Row],[_IsLeaf]]=1),Tasks[[#This Row],[_Res2Row]]=0),0,N(Tasks[[#This Row],[_Days]])*HoursPerDay*IF(Tasks[[#This Row],[_Res2Units]]="",DefaultUnits,Tasks[[#This Row],[_Res2Units]]))</f>
        <v>0</v>
      </c>
      <c r="DR114" s="42" t="n">
        <f aca="false">IF(AND(AND(Tasks[[#This Row],[_IsLeaf]]=1,Tasks[[#This Row],[_LeafTotalWork]]&gt;0),Tasks[[#This Row],[_Res2Work]]&gt;0),Tasks[[#This Row],[_Res2Work]]/(Tasks[[#This Row],[_FinishWorkday]]-Tasks[[#This Row],[_StartWorkday]]+1),0)</f>
        <v>0</v>
      </c>
      <c r="DS114" s="42" t="n">
        <f aca="false">Tasks[[#This Row],[_Res2WorkPerWD]]*MAX(0,Tasks[[#This Row],[_StartWorkday]]-1)</f>
        <v>0</v>
      </c>
      <c r="DT114" s="42" t="n">
        <f aca="false">Tasks[[#This Row],[_Res2Work]]*Tasks[[#This Row],[_LeafProgress]]</f>
        <v>0</v>
      </c>
      <c r="DU114" s="42" t="str">
        <f aca="false">IF(Tasks[[#This Row],[_Res3Text]]="","",IF(Tasks[[#This Row],[_Res3Row]]&gt;0,INDEX(res_Name,Tasks[[#This Row],[_Res3Row]]),TRIM(LEFT(Tasks[[#This Row],[_Res3Text]],FIND("[",Tasks[[#This Row],[_Res3Text]]&amp;"[")-1))))</f>
        <v/>
      </c>
      <c r="DV1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4" s="42" t="n">
        <f aca="false">IF(OR(NOT(Tasks[[#This Row],[_IsLeaf]]=1),Tasks[[#This Row],[_Res3Row]]=0),0,N(Tasks[[#This Row],[_Days]])*HoursPerDay*IF(Tasks[[#This Row],[_Res3Units]]="",DefaultUnits,Tasks[[#This Row],[_Res3Units]]))</f>
        <v>0</v>
      </c>
      <c r="DX114" s="42" t="n">
        <f aca="false">IF(AND(AND(Tasks[[#This Row],[_IsLeaf]]=1,Tasks[[#This Row],[_LeafTotalWork]]&gt;0),Tasks[[#This Row],[_Res3Work]]&gt;0),Tasks[[#This Row],[_Res3Work]]/(Tasks[[#This Row],[_FinishWorkday]]-Tasks[[#This Row],[_StartWorkday]]+1),0)</f>
        <v>0</v>
      </c>
      <c r="DY114" s="42" t="n">
        <f aca="false">Tasks[[#This Row],[_Res3WorkPerWD]]*MAX(0,Tasks[[#This Row],[_StartWorkday]]-1)</f>
        <v>0</v>
      </c>
      <c r="DZ114" s="42" t="n">
        <f aca="false">Tasks[[#This Row],[_Res3Work]]*Tasks[[#This Row],[_LeafProgress]]</f>
        <v>0</v>
      </c>
      <c r="EA114" s="42" t="str">
        <f aca="false">IF(Tasks[[#This Row],[_Res4Text]]="","",IF(Tasks[[#This Row],[_Res4Row]]&gt;0,INDEX(res_Name,Tasks[[#This Row],[_Res4Row]]),TRIM(LEFT(Tasks[[#This Row],[_Res4Text]],FIND("[",Tasks[[#This Row],[_Res4Text]]&amp;"[")-1))))</f>
        <v/>
      </c>
      <c r="EB1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4" s="42" t="n">
        <f aca="false">IF(OR(NOT(Tasks[[#This Row],[_IsLeaf]]=1),Tasks[[#This Row],[_Res4Row]]=0),0,N(Tasks[[#This Row],[_Days]])*HoursPerDay*IF(Tasks[[#This Row],[_Res4Units]]="",DefaultUnits,Tasks[[#This Row],[_Res4Units]]))</f>
        <v>0</v>
      </c>
      <c r="ED114" s="42" t="n">
        <f aca="false">IF(AND(AND(Tasks[[#This Row],[_IsLeaf]]=1,Tasks[[#This Row],[_LeafTotalWork]]&gt;0),Tasks[[#This Row],[_Res4Work]]&gt;0),Tasks[[#This Row],[_Res4Work]]/(Tasks[[#This Row],[_FinishWorkday]]-Tasks[[#This Row],[_StartWorkday]]+1),0)</f>
        <v>0</v>
      </c>
      <c r="EE114" s="42" t="n">
        <f aca="false">Tasks[[#This Row],[_Res4WorkPerWD]]*MAX(0,Tasks[[#This Row],[_StartWorkday]]-1)</f>
        <v>0</v>
      </c>
      <c r="EF114" s="42" t="n">
        <f aca="false">Tasks[[#This Row],[_Res4Work]]*Tasks[[#This Row],[_LeafProgress]]</f>
        <v>0</v>
      </c>
      <c r="EG114" s="42" t="n">
        <f aca="false">IF(ISNUMBER(Tasks[[#This Row],[% Complete]]),Tasks[[#This Row],[% Complete]],IF(Tasks[[#This Row],[Stage]]="",0,IFERROR(INDEX(stg_Pct,MATCH(Tasks[[#This Row],[Stage]],stg_Name,0)),0)))</f>
        <v>0</v>
      </c>
      <c r="EH114" s="42" t="n">
        <f aca="false">IF(NOT(Tasks[[#This Row],[_IsLeaf]]=1),0,IF(N(Tasks[[#This Row],[Actual Finish]])&gt;0,1,MIN(1,Tasks[[#This Row],[_Pct]])))</f>
        <v>0</v>
      </c>
      <c r="EI114" s="42" t="n">
        <f aca="false">IF(OR(NOT(Tasks[[#This Row],[_IsLeaf]]=1),Tasks[[#This Row],[_Res1Row]]=0),0,N(Tasks[[#This Row],[_Days]])*HoursPerDay*IF(Tasks[[#This Row],[_Units1]]="",DefaultUnits,Tasks[[#This Row],[_Units1]]))</f>
        <v>0</v>
      </c>
      <c r="EJ114" s="42" t="n">
        <f aca="false">Tasks[[#This Row],[_LeafWork]]+Tasks[[#This Row],[_Res2Work]]+Tasks[[#This Row],[_Res3Work]]+Tasks[[#This Row],[_Res4Work]]</f>
        <v>0</v>
      </c>
      <c r="EK1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4" s="42" t="n">
        <f aca="false">IF(NOT(Tasks[[#This Row],[_IsLeaf]]=1),0,MAX(_xlfn.MAXIFS(Tasks[_Row],Tasks[_Pred1UID],Tasks[[#This Row],[UID]]),_xlfn.MAXIFS(Tasks[_Row],Tasks[_Pred2UID],Tasks[[#This Row],[UID]]),_xlfn.MAXIFS(Tasks[_Row],Tasks[_Pred3UID],Tasks[[#This Row],[UID]]),_xlfn.MAXIFS(Tasks[_Row],Tasks[_Pred4UID],Tasks[[#This Row],[UID]])))</f>
        <v>0</v>
      </c>
      <c r="ET1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4" s="89" t="str">
        <f aca="false">IF(NOT(Tasks[[#This Row],[_IsLeaf]]=1),"",IF(N(Tasks[[#This Row],[_Days]])&lt;=0,Tasks[[#This Row],[_LeafLateFinish]],WORKDAY.INTL(Tasks[[#This Row],[_LeafLateFinish]],-(Tasks[[#This Row],[_Days]]-1),WorkWeek,Holidays)))</f>
        <v/>
      </c>
      <c r="EW1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4" s="88" t="b">
        <f aca="false">AND(Tasks[[#This Row],[_IsLeaf]]=1,Tasks[[#This Row],[_LeafProgress]]&lt;1,N(Tasks[[#This Row],[_LeafTotalSlack]])&lt;=CriticalSlackDays)</f>
        <v>0</v>
      </c>
      <c r="EY114" s="42" t="n">
        <f aca="false">IF(AND(Tasks[[#This Row],[_IsLeaf]]=1,Tasks[[#This Row],[_ConstraintCode]]=1,Tasks[[#This Row],[Mode]]&lt;&gt;"Manual",N(Tasks[[#This Row],[Actual Start]])=0),MAX(0,N(Tasks[[#This Row],[Free Slack]])),0)</f>
        <v>0</v>
      </c>
      <c r="EZ114" s="89" t="str">
        <f aca="false">IF(NOT(Tasks[[#This Row],[_IsLeaf]]=1),"",IF(Tasks[[#This Row],[_AlapShift]]=0,Tasks[[#This Row],[_LeafCalcStart]],WORKDAY.INTL(Tasks[[#This Row],[_LeafCalcStart]],Tasks[[#This Row],[_AlapShift]],WorkWeek,Holidays)))</f>
        <v/>
      </c>
      <c r="FA114" s="89" t="str">
        <f aca="false">IF(NOT(Tasks[[#This Row],[_IsLeaf]]=1),"",IF(Tasks[[#This Row],[_AlapShift]]=0,Tasks[[#This Row],[_LeafCalcFinish]],WORKDAY.INTL(Tasks[[#This Row],[_LeafCalcFinish]],Tasks[[#This Row],[_AlapShift]],WorkWeek,Holidays)))</f>
        <v/>
      </c>
      <c r="FB114" s="89" t="str">
        <f aca="false">IF(NOT(Tasks[[#This Row],[_IsLeaf]]=1),"",IF(Tasks[[#This Row],[_AlapShift]]=0,Tasks[[#This Row],[_LeafFcstStart]],WORKDAY.INTL(Tasks[[#This Row],[_LeafFcstStart]],Tasks[[#This Row],[_AlapShift]],WorkWeek,Holidays)))</f>
        <v/>
      </c>
      <c r="FC114" s="89" t="str">
        <f aca="false">IF(NOT(Tasks[[#This Row],[_IsLeaf]]=1),"",IF(Tasks[[#This Row],[_AlapShift]]=0,Tasks[[#This Row],[_LeafFcstFinish]],WORKDAY.INTL(Tasks[[#This Row],[_LeafFcstFinish]],Tasks[[#This Row],[_AlapShift]],WorkWeek,Holidays)))</f>
        <v/>
      </c>
      <c r="FD114" s="89" t="str">
        <f aca="false">IF(Tasks[[#This Row],[Task Name]]="","",IF(Tasks[[#This Row],[_IsSummary]],MIN(INDEX(Tasks[_ShownCalcStart],Tasks[[#This Row],[_Row]]+1):INDEX(Tasks[_ShownCalcStart],Tasks[[#This Row],[_Row]]+Tasks[[#This Row],[_Descendants]])),Tasks[[#This Row],[_ShownCalcStart]]))</f>
        <v/>
      </c>
      <c r="FE114" s="89" t="str">
        <f aca="false">IF(Tasks[[#This Row],[Task Name]]="","",IF(Tasks[[#This Row],[_IsSummary]],MAX(INDEX(Tasks[_ShownCalcFinish],Tasks[[#This Row],[_Row]]+1):INDEX(Tasks[_ShownCalcFinish],Tasks[[#This Row],[_Row]]+Tasks[[#This Row],[_Descendants]])),Tasks[[#This Row],[_ShownCalcFinish]]))</f>
        <v/>
      </c>
      <c r="FF1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4" s="42" t="n">
        <f aca="false">IF(AND(Tasks[[#This Row],[_IsLeaf]]=1,Tasks[[#This Row],[_LeafTotalWork]]&gt;0),NETWORKDAYS.INTL(ProjectStart,Tasks[[#This Row],[_ShownFcstStart]],WorkWeek,Holidays),0)</f>
        <v>0</v>
      </c>
      <c r="FS114" s="42" t="n">
        <f aca="false">IF(AND(Tasks[[#This Row],[_IsLeaf]]=1,Tasks[[#This Row],[_LeafTotalWork]]&gt;0),MAX(Tasks[[#This Row],[_StartWorkday]],NETWORKDAYS.INTL(ProjectStart,Tasks[[#This Row],[_ShownFcstFinish]],WorkWeek,Holidays)),0)</f>
        <v>0</v>
      </c>
      <c r="FT114" s="42" t="n">
        <f aca="false">IF(AND(Tasks[[#This Row],[_IsLeaf]]=1,Tasks[[#This Row],[_LeafTotalWork]]&gt;0),Tasks[[#This Row],[_LeafWork]]/(Tasks[[#This Row],[_FinishWorkday]]-Tasks[[#This Row],[_StartWorkday]]+1),0)</f>
        <v>0</v>
      </c>
      <c r="FU114" s="42" t="n">
        <f aca="false">Tasks[[#This Row],[_WorkPerWorkday]]*(Tasks[[#This Row],[_StartWorkday]]-1)</f>
        <v>-0</v>
      </c>
      <c r="FV114" s="42" t="n">
        <f aca="false">IF(Tasks[[#This Row],[_IsLeaf]]=1,MAX(N(Tasks[[#This Row],[_Days]]),0.1),0)</f>
        <v>0</v>
      </c>
      <c r="FW114" s="42" t="n">
        <f aca="false">Tasks[[#This Row],[_WeightDur]]*Tasks[[#This Row],[_LeafProgress]]</f>
        <v>0</v>
      </c>
      <c r="FX114" s="42" t="n">
        <f aca="false">Tasks[[#This Row],[_WeightDur]]*Tasks[[#This Row],[_PlannedPct]]</f>
        <v>0</v>
      </c>
      <c r="FY1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4" s="42" t="str">
        <f aca="false">IF(AND(Tasks[[#This Row],[_IsLeaf]]=1,N(Tasks[[#This Row],[_Days]])=0,Tasks[[#This Row],[_LeafProgress]]&lt;1),Tasks[[#This Row],[_ShownFcstFinish]]+Tasks[[#This Row],[_Row]]/100000,"")</f>
        <v/>
      </c>
      <c r="GA1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4" s="42" t="str">
        <f aca="false">IF(Tasks[[#This Row],[Task Name]]="","",LEFT(Tasks[[#This Row],[WBS]],FIND(".",Tasks[[#This Row],[WBS]]&amp;".")-1))</f>
        <v/>
      </c>
      <c r="GC114" s="42" t="str">
        <f aca="false">IF(AND(Tasks[[#This Row],[Task Name]]&lt;&gt;"",Tasks[[#This Row],[_Level]]=1),Tasks[[#This Row],[_Row]],"")</f>
        <v/>
      </c>
      <c r="GD114" s="42" t="str">
        <f aca="false">IF(AND(Tasks[[#This Row],[_IsLeaf]]=1,N(Tasks[[#This Row],[_Days]])=0),Tasks[[#This Row],[Planned Finish]]+Tasks[[#This Row],[_Row]]/100000,"")</f>
        <v/>
      </c>
      <c r="GE114" s="42" t="str">
        <f aca="false">IF(AND(Tasks[[#This Row],[_IsLeaf]]=1,Tasks[[#This Row],[_LeafProgress]]&lt;1,OR(N(Tasks[[#This Row],[Finish Var]])&gt;0,Tasks[[#This Row],[Status]]="Late Start")),MAX(0,Tasks[[#This Row],[Finish Var]])+1-Tasks[[#This Row],[_Row]]/1000000,"")</f>
        <v/>
      </c>
      <c r="GF114" s="42" t="str">
        <f aca="false">IF(AND(Tasks[[#This Row],[_IsLeaf]]=1,N(Tasks[[#This Row],[Actual Start]])=0,Tasks[[#This Row],[_ShownFcstStart]]&gt;=StatusDate,Tasks[[#This Row],[_ShownFcstStart]]&lt;=LookaheadEnd),Tasks[[#This Row],[_ShownFcstStart]]+Tasks[[#This Row],[_Row]]/100000,"")</f>
        <v/>
      </c>
      <c r="GG114" s="42" t="str">
        <f aca="false">IF(AND(Tasks[[#This Row],[_IsLeaf]]=1,Tasks[[#This Row],[_LeafProgress]]&lt;1,Tasks[[#This Row],[_ShownFcstFinish]]&gt;=StatusDate,Tasks[[#This Row],[_ShownFcstFinish]]&lt;=LookaheadEnd),Tasks[[#This Row],[_ShownFcstFinish]]+Tasks[[#This Row],[_Row]]/100000,"")</f>
        <v/>
      </c>
      <c r="GH114" s="42" t="str">
        <f aca="false">IF(Tasks[[#This Row],[_LeafCritical]],Tasks[[#This Row],[_ShownFcstStart]]+Tasks[[#This Row],[_Row]]/100000,"")</f>
        <v/>
      </c>
      <c r="GI114" s="42" t="n">
        <f aca="false">Tasks[[#This Row],[_LeafWork]]*Tasks[[#This Row],[_LeafProgress]]</f>
        <v>0</v>
      </c>
      <c r="GJ114" s="89" t="str">
        <f aca="false">IF(AND(Tasks[[#This Row],[_IsLeaf]]=1,Tasks[[#This Row],[_LeafProgress]]&gt;=1),IF(N(Tasks[[#This Row],[Actual Finish]])&gt;0,Tasks[[#This Row],[Actual Finish]],Tasks[[#This Row],[_ShownFcstFinish]]),"")</f>
        <v/>
      </c>
      <c r="GK114" s="42" t="n">
        <f aca="false">IF(Tasks[[#This Row],[_IsLeaf]]=1,N(Tasks[[#This Row],[Story Points]]),0)</f>
        <v>0</v>
      </c>
      <c r="GL114" s="42" t="str">
        <f aca="false">""</f>
        <v/>
      </c>
      <c r="GM114" s="88" t="b">
        <f aca="false">IF(Tasks[[#This Row],[Task Name]]="",FALSE(),AND(Tasks[[#This Row],[_IsLeaf]]=1,N(Tasks[[#This Row],[_Days]])=0))</f>
        <v>0</v>
      </c>
      <c r="GN114" s="89" t="n">
        <f aca="false">IF(Tasks[[#This Row],[Task Name]]="",0,IF(AND(Tasks[[#This Row],[_IsLeaf]]=1,NOT(Tasks[[#This Row],[_IsMilestone]]),N(Tasks[[#This Row],[Progress]])&gt;0),Tasks[[#This Row],[Start]],0))</f>
        <v>0</v>
      </c>
      <c r="GO114" s="89" t="n">
        <f aca="false">IF(Tasks[[#This Row],[_DoneFrom]]=0,0,IF(Tasks[[#This Row],[Progress]]&gt;=1,Tasks[[#This Row],[Finish]],MAX(Tasks[[#This Row],[_DoneFrom]],Tasks[[#This Row],[Start]]+ROUND((Tasks[[#This Row],[Finish]]-Tasks[[#This Row],[Start]]+1)*Tasks[[#This Row],[Progress]],0)-1)))</f>
        <v>0</v>
      </c>
      <c r="GP114" s="89" t="n">
        <f aca="false">IF(Tasks[[#This Row],[Task Name]]="",0,IF(OR(NOT(Tasks[[#This Row],[_IsLeaf]]=1),Tasks[[#This Row],[_IsMilestone]],N(Tasks[[#This Row],[Progress]])&gt;=1),0,IF(Tasks[[#This Row],[_DoneTo]]&gt;0,Tasks[[#This Row],[_DoneTo]]+1,Tasks[[#This Row],[Start]])))</f>
        <v>0</v>
      </c>
      <c r="GQ114" s="89" t="n">
        <f aca="false">IF(Tasks[[#This Row],[_RemFrom]]=0,0,Tasks[[#This Row],[Finish]])</f>
        <v>0</v>
      </c>
      <c r="GR114" s="88" t="b">
        <f aca="false">IF(Tasks[[#This Row],[Task Name]]="",FALSE(),OR(NOT(BaselineSet),N(Tasks[[#This Row],[Baseline Start]])&gt;0))</f>
        <v>0</v>
      </c>
      <c r="GS1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4" s="90" t="str">
        <f aca="false">IF(Tasks[[#This Row],[_IsLeaf]]=1,Tasks[[#This Row],[_Row]],"")</f>
        <v/>
      </c>
      <c r="GW114" s="90" t="str">
        <f aca="false">IFERROR(INDEX(Tasks[UID],SMALL(Tasks[_PickKey],Tasks[[#This Row],[_Row]]))&amp;" "&amp;INDEX(Tasks[Task Name],SMALL(Tasks[_PickKey],Tasks[[#This Row],[_Row]])),"")</f>
        <v/>
      </c>
      <c r="GX114" s="42" t="str">
        <f aca="false">IF(Tasks[[#This Row],[Task Name]]="","",IF(Tasks[[#This Row],[_IsSummary]],NETWORKDAYS.INTL(Tasks[[#This Row],[Start]],Tasks[[#This Row],[Finish]],WorkWeek,Holidays),N(Tasks[[#This Row],[_Days]])))</f>
        <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3"/>
      <c r="U115" s="23"/>
      <c r="V115" s="83"/>
      <c r="W115" s="23"/>
      <c r="X115" s="83"/>
      <c r="Y115" s="23"/>
      <c r="Z115" s="83"/>
      <c r="AA115" s="23"/>
      <c r="AB115" s="23"/>
      <c r="AC115" s="7"/>
      <c r="AD115" s="7"/>
      <c r="AE115" s="62" t="str">
        <f aca="false">IF(Tasks[[#This Row],[Task Name]]="","",IF(Tasks[[#This Row],[_IsSummary]],MIN(INDEX(Tasks[_ShownFcstStart],Tasks[[#This Row],[_Row]]+1):INDEX(Tasks[_ShownFcstStart],Tasks[[#This Row],[_Row]]+Tasks[[#This Row],[_Descendants]])),Tasks[[#This Row],[_ShownFcstStart]]))</f>
        <v/>
      </c>
      <c r="AF115" s="62"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5" s="7"/>
      <c r="AK115" s="22"/>
      <c r="AL115" s="23"/>
      <c r="AM115" s="7"/>
      <c r="AN115" s="46"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2" t="str">
        <f aca="false">IF(Tasks[[#This Row],[Task Name]]="","",IF(N(Tasks[[#This Row],[Baseline Start]])&gt;0,Tasks[[#This Row],[Baseline Start]],Tasks[[#This Row],[_CalcStart]]))</f>
        <v/>
      </c>
      <c r="AR115" s="62" t="str">
        <f aca="false">IF(Tasks[[#This Row],[Task Name]]="","",IF(N(Tasks[[#This Row],[Baseline Finish]])&gt;0,Tasks[[#This Row],[Baseline Finish]],Tasks[[#This Row],[_CalcFinish]]))</f>
        <v/>
      </c>
      <c r="AS115" s="46" t="str">
        <f aca="false">IF(Tasks[[#This Row],[Task Name]]="","",IF(Tasks[[#This Row],[Start]]&gt;=Tasks[[#This Row],[Planned Start]],NETWORKDAYS.INTL(Tasks[[#This Row],[Planned Start]],Tasks[[#This Row],[Start]],WorkWeek,Holidays)-1,1-NETWORKDAYS.INTL(Tasks[[#This Row],[Start]],Tasks[[#This Row],[Planned Start]],WorkWeek,Holidays)))</f>
        <v/>
      </c>
      <c r="AT115" s="62" t="str">
        <f aca="false">IF(Tasks[[#This Row],[Task Name]]="","",IF(Tasks[[#This Row],[_IsSummary]],MIN(INDEX(Tasks[_LeafLateStart],Tasks[[#This Row],[_Row]]+1):INDEX(Tasks[_LeafLateStart],Tasks[[#This Row],[_Row]]+Tasks[[#This Row],[_Descendants]])),Tasks[[#This Row],[_LeafLateStart]]))</f>
        <v/>
      </c>
      <c r="AU115" s="62" t="str">
        <f aca="false">IF(Tasks[[#This Row],[Task Name]]="","",IF(Tasks[[#This Row],[_IsSummary]],MAX(INDEX(Tasks[_LeafLateFinish],Tasks[[#This Row],[_Row]]+1):INDEX(Tasks[_LeafLateFinish],Tasks[[#This Row],[_Row]]+Tasks[[#This Row],[_Descendants]])),Tasks[[#This Row],[_LeafLateFinish]]))</f>
        <v/>
      </c>
      <c r="AV115" s="46"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4"/>
      <c r="BA11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5"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6"/>
      <c r="BJ115" s="22"/>
      <c r="BK115" s="46" t="str">
        <f aca="false">IF(OR(Tasks[[#This Row],[Task Name]]="",Tasks[[#This Row],[Baseline Duration]]=""),"",Tasks[[#This Row],[_SpanDays]]-N(Tasks[[#This Row],[Baseline Duration]]))</f>
        <v/>
      </c>
      <c r="BL115" s="85" t="str">
        <f aca="false">IF(OR(Tasks[[#This Row],[Task Name]]="",Tasks[[#This Row],[Baseline Work]]=""),"",Tasks[[#This Row],[Work]]-N(Tasks[[#This Row],[Baseline Work]]))</f>
        <v/>
      </c>
      <c r="BM115" s="62" t="str">
        <f aca="false">IF(Tasks[[#This Row],[Task Name]]="","",IF(OR(TakeBaseline="Yes",N(Tasks[[#This Row],[Baseline Start]])=0),Tasks[[#This Row],[Start]],Tasks[[#This Row],[Baseline Start]]))</f>
        <v/>
      </c>
      <c r="BN115" s="62"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5" t="str">
        <f aca="false">IF(Tasks[[#This Row],[Task Name]]="","",IF(OR(TakeBaseline="Yes",N(Tasks[[#This Row],[Baseline Work]])=0),Tasks[[#This Row],[Work]],Tasks[[#This Row],[Baseline Work]]))</f>
        <v/>
      </c>
      <c r="BQ115" s="7"/>
      <c r="BR115" s="7"/>
      <c r="BS115" s="22"/>
      <c r="BT115" s="87"/>
      <c r="BU115" s="42" t="str">
        <f aca="false">IF(Tasks[[#This Row],[Task Name]]="","",MAX(1,N(Tasks[[#This Row],[Level]])))</f>
        <v/>
      </c>
      <c r="BV115" s="42" t="n">
        <f aca="false">ROW()-ROW(Tasks[[#Headers],[ID]])</f>
        <v>110</v>
      </c>
      <c r="BW115" s="42" t="n">
        <f aca="false">IF(OR(Tasks[[#This Row],[Task Name]]="",Tasks[[#This Row],[_Level]]&lt;=1),0,IFERROR(LOOKUP(2,1/(Tasks[[#Headers],[_Level]]:Tasks[[#This Row],[_Level]]=Tasks[[#This Row],[_Level]]-1),ROW(Tasks[[#Headers],[_Level]]:Tasks[[#This Row],[_Level]])),0))</f>
        <v>0</v>
      </c>
      <c r="BX115" s="42" t="n">
        <f aca="false">IFERROR(N(INDEX(Tasks[_Level],Tasks[[#This Row],[_Row]]+1)),0)</f>
        <v>0</v>
      </c>
      <c r="BY115" s="88" t="b">
        <f aca="false">AND(Tasks[[#This Row],[Task Name]]&lt;&gt;"",Tasks[[#This Row],[_NextLevel]]&gt;Tasks[[#This Row],[_Level]])</f>
        <v>0</v>
      </c>
      <c r="BZ115" s="42" t="n">
        <f aca="false">IF(Tasks[[#This Row],[_IsSummary]],COUNTIF(Tasks[WBS],Tasks[[#This Row],[WBS]]&amp;".*"),0)</f>
        <v>0</v>
      </c>
      <c r="CA115" s="42" t="n">
        <f aca="false">IF(AND(Tasks[[#This Row],[Task Name]]&lt;&gt;"",NOT(Tasks[[#This Row],[_IsSummary]])),1,0)</f>
        <v>0</v>
      </c>
      <c r="CB115" s="42" t="n">
        <f aca="false">IF(N(Tasks[[#This Row],[_Pred1UID]])=0,0,IFERROR(MATCH(Tasks[[#This Row],[_Pred1UID]],Tasks[UID],0),-1))</f>
        <v>0</v>
      </c>
      <c r="CC115" s="42" t="n">
        <f aca="false">IF(N(Tasks[[#This Row],[_Pred2UID]])=0,0,IFERROR(MATCH(Tasks[[#This Row],[_Pred2UID]],Tasks[UID],0),-1))</f>
        <v>0</v>
      </c>
      <c r="CD115" s="42" t="n">
        <f aca="false">IF(N(Tasks[[#This Row],[_Pred3UID]])=0,0,IFERROR(MATCH(Tasks[[#This Row],[_Pred3UID]],Tasks[UID],0),-1))</f>
        <v>0</v>
      </c>
      <c r="CE115" s="42" t="n">
        <f aca="false">IF(N(Tasks[[#This Row],[_Pred4UID]])=0,0,IFERROR(MATCH(Tasks[[#This Row],[_Pred4UID]],Tasks[UID],0),-1))</f>
        <v>0</v>
      </c>
      <c r="CF11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5" s="89" t="n">
        <f aca="false">IF(OR(Tasks[[#This Row],[_ConstraintCode]]=2,Tasks[[#This Row],[_ConstraintCode]]=3,Tasks[[#This Row],[_ConstraintCode]]=4,Tasks[[#This Row],[_ConstraintCode]]=6),Tasks[[#This Row],[_ConstraintStart]],0)</f>
        <v>0</v>
      </c>
      <c r="CI115" s="89" t="n">
        <f aca="false">IF(OR(Tasks[[#This Row],[_ConstraintCode]]=2,Tasks[[#This Row],[_ConstraintCode]]=3,Tasks[[#This Row],[_ConstraintCode]]=5,Tasks[[#This Row],[_ConstraintCode]]=7),Tasks[[#This Row],[_ConstraintStart]],2958465)</f>
        <v>2958465</v>
      </c>
      <c r="CJ11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5" s="89" t="str">
        <f aca="false">IF(NOT(Tasks[[#This Row],[_IsLeaf]]=1),"",IF(N(Tasks[[#This Row],[_Days]])&lt;=0,Tasks[[#This Row],[_LeafCalcStart]],WORKDAY.INTL(Tasks[[#This Row],[_LeafCalcStart]],Tasks[[#This Row],[_Days]]-1,WorkWeek,Holidays)))</f>
        <v/>
      </c>
      <c r="CL11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5" s="42" t="str">
        <f aca="false">IF(Tasks[[#This Row],[_Predecessors]]="","",TRIM(MID(SUBSTITUTE(SUBSTITUTE(SUBSTITUTE(UPPER(Tasks[[#This Row],[_Predecessors]]),";",",")," ",""),",",REPT(" ",99)),1,99)))</f>
        <v/>
      </c>
      <c r="CO115" s="42" t="str">
        <f aca="false">IF(Tasks[[#This Row],[_Pred1Text]]="","",IFERROR(VALUE(LEFT(Tasks[[#This Row],[_Pred1Text]],MIN(FIND("F",Tasks[[#This Row],[_Pred1Text]]&amp;"F"),FIND("S",Tasks[[#This Row],[_Pred1Text]]&amp;"S"),FIND("+",Tasks[[#This Row],[_Pred1Text]]&amp;"+"),FIND("-",Tasks[[#This Row],[_Pred1Text]]&amp;"-"))-1)),""))</f>
        <v/>
      </c>
      <c r="CP1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5" s="42" t="str">
        <f aca="false">IF(Tasks[[#This Row],[_Pred1Text]]="","",TRIM(MID(SUBSTITUTE(SUBSTITUTE(SUBSTITUTE(UPPER(Tasks[[#This Row],[_Predecessors]]),";",",")," ",""),",",REPT(" ",99)),100,99)))</f>
        <v/>
      </c>
      <c r="CS115" s="42" t="str">
        <f aca="false">IF(Tasks[[#This Row],[_Pred2Text]]="","",IFERROR(VALUE(LEFT(Tasks[[#This Row],[_Pred2Text]],MIN(FIND("F",Tasks[[#This Row],[_Pred2Text]]&amp;"F"),FIND("S",Tasks[[#This Row],[_Pred2Text]]&amp;"S"),FIND("+",Tasks[[#This Row],[_Pred2Text]]&amp;"+"),FIND("-",Tasks[[#This Row],[_Pred2Text]]&amp;"-"))-1)),""))</f>
        <v/>
      </c>
      <c r="CT1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5" s="42" t="str">
        <f aca="false">IF(Tasks[[#This Row],[_Pred2Text]]="","",TRIM(MID(SUBSTITUTE(SUBSTITUTE(SUBSTITUTE(UPPER(Tasks[[#This Row],[_Predecessors]]),";",",")," ",""),",",REPT(" ",99)),199,99)))</f>
        <v/>
      </c>
      <c r="CW115" s="42" t="str">
        <f aca="false">IF(Tasks[[#This Row],[_Pred3Text]]="","",IFERROR(VALUE(LEFT(Tasks[[#This Row],[_Pred3Text]],MIN(FIND("F",Tasks[[#This Row],[_Pred3Text]]&amp;"F"),FIND("S",Tasks[[#This Row],[_Pred3Text]]&amp;"S"),FIND("+",Tasks[[#This Row],[_Pred3Text]]&amp;"+"),FIND("-",Tasks[[#This Row],[_Pred3Text]]&amp;"-"))-1)),""))</f>
        <v/>
      </c>
      <c r="CX1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5" s="42" t="str">
        <f aca="false">IF(Tasks[[#This Row],[_Pred3Text]]="","",TRIM(MID(SUBSTITUTE(SUBSTITUTE(SUBSTITUTE(UPPER(Tasks[[#This Row],[_Predecessors]]),";",",")," ",""),",",REPT(" ",99)),298,99)))</f>
        <v/>
      </c>
      <c r="DA115" s="42" t="str">
        <f aca="false">IF(Tasks[[#This Row],[_Pred4Text]]="","",IFERROR(VALUE(LEFT(Tasks[[#This Row],[_Pred4Text]],MIN(FIND("F",Tasks[[#This Row],[_Pred4Text]]&amp;"F"),FIND("S",Tasks[[#This Row],[_Pred4Text]]&amp;"S"),FIND("+",Tasks[[#This Row],[_Pred4Text]]&amp;"+"),FIND("-",Tasks[[#This Row],[_Pred4Text]]&amp;"-"))-1)),""))</f>
        <v/>
      </c>
      <c r="DB1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5" s="42" t="str">
        <f aca="false">IF(OR(Tasks[[#This Row],[Task Name]]="",Tasks[[#This Row],[_Resources]]=""),"",TRIM(MID(SUBSTITUTE(Tasks[[#This Row],[_Resources]],",",REPT(" ",99)),1,99)))</f>
        <v/>
      </c>
      <c r="DE115" s="42" t="str">
        <f aca="false">IF(Tasks[[#This Row],[_Res1Text]]="","",TRIM(MID(SUBSTITUTE(Tasks[[#This Row],[_Resources]],",",REPT(" ",99)),100,99)))</f>
        <v/>
      </c>
      <c r="DF115" s="42" t="str">
        <f aca="false">IF(Tasks[[#This Row],[_Res2Text]]="","",TRIM(MID(SUBSTITUTE(Tasks[[#This Row],[_Resources]],",",REPT(" ",99)),199,99)))</f>
        <v/>
      </c>
      <c r="DG115" s="42" t="str">
        <f aca="false">IF(Tasks[[#This Row],[_Res3Text]]="","",TRIM(MID(SUBSTITUTE(Tasks[[#This Row],[_Resources]],",",REPT(" ",99)),298,99)))</f>
        <v/>
      </c>
      <c r="DH115" s="42" t="n">
        <f aca="false">IF(Tasks[[#This Row],[_Res1Text]]="",0,IFERROR(MATCH(TRIM(LEFT(Tasks[[#This Row],[_Res1Text]],FIND("[",Tasks[[#This Row],[_Res1Text]]&amp;"[")-1)),res_Name,0),IFERROR(MATCH(TRIM(LEFT(Tasks[[#This Row],[_Res1Text]],FIND("[",Tasks[[#This Row],[_Res1Text]]&amp;"[")-1)),res_Initials,0),0)))</f>
        <v>0</v>
      </c>
      <c r="DI115" s="42" t="n">
        <f aca="false">IF(Tasks[[#This Row],[_Res2Text]]="",0,IFERROR(MATCH(TRIM(LEFT(Tasks[[#This Row],[_Res2Text]],FIND("[",Tasks[[#This Row],[_Res2Text]]&amp;"[")-1)),res_Name,0),IFERROR(MATCH(TRIM(LEFT(Tasks[[#This Row],[_Res2Text]],FIND("[",Tasks[[#This Row],[_Res2Text]]&amp;"[")-1)),res_Initials,0),0)))</f>
        <v>0</v>
      </c>
      <c r="DJ115" s="42" t="n">
        <f aca="false">IF(Tasks[[#This Row],[_Res3Text]]="",0,IFERROR(MATCH(TRIM(LEFT(Tasks[[#This Row],[_Res3Text]],FIND("[",Tasks[[#This Row],[_Res3Text]]&amp;"[")-1)),res_Name,0),IFERROR(MATCH(TRIM(LEFT(Tasks[[#This Row],[_Res3Text]],FIND("[",Tasks[[#This Row],[_Res3Text]]&amp;"[")-1)),res_Initials,0),0)))</f>
        <v>0</v>
      </c>
      <c r="DK115" s="42" t="n">
        <f aca="false">IF(Tasks[[#This Row],[_Res4Text]]="",0,IFERROR(MATCH(TRIM(LEFT(Tasks[[#This Row],[_Res4Text]],FIND("[",Tasks[[#This Row],[_Res4Text]]&amp;"[")-1)),res_Name,0),IFERROR(MATCH(TRIM(LEFT(Tasks[[#This Row],[_Res4Text]],FIND("[",Tasks[[#This Row],[_Res4Text]]&amp;"[")-1)),res_Initials,0),0)))</f>
        <v>0</v>
      </c>
      <c r="DL115" s="42" t="str">
        <f aca="false">IF(Tasks[[#This Row],[_Res1Text]]="","",IF(Tasks[[#This Row],[_Res1Row]]&gt;0,INDEX(res_Name,Tasks[[#This Row],[_Res1Row]]),TRIM(LEFT(Tasks[[#This Row],[_Res1Text]],FIND("[",Tasks[[#This Row],[_Res1Text]]&amp;"[")-1))))</f>
        <v/>
      </c>
      <c r="DM1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5" s="42" t="n">
        <f aca="false">IF(NOT(Tasks[[#This Row],[_IsLeaf]]=1),0,(Tasks[[#This Row],[_Resource1]]&lt;&gt;"")+(Tasks[[#This Row],[_Res2]]&lt;&gt;"")+(Tasks[[#This Row],[_Res3]]&lt;&gt;"")+(Tasks[[#This Row],[_Res4]]&lt;&gt;""))</f>
        <v>0</v>
      </c>
      <c r="DO115" s="42" t="str">
        <f aca="false">IF(Tasks[[#This Row],[_Res2Text]]="","",IF(Tasks[[#This Row],[_Res2Row]]&gt;0,INDEX(res_Name,Tasks[[#This Row],[_Res2Row]]),TRIM(LEFT(Tasks[[#This Row],[_Res2Text]],FIND("[",Tasks[[#This Row],[_Res2Text]]&amp;"[")-1))))</f>
        <v/>
      </c>
      <c r="DP11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5" s="42" t="n">
        <f aca="false">IF(OR(NOT(Tasks[[#This Row],[_IsLeaf]]=1),Tasks[[#This Row],[_Res2Row]]=0),0,N(Tasks[[#This Row],[_Days]])*HoursPerDay*IF(Tasks[[#This Row],[_Res2Units]]="",DefaultUnits,Tasks[[#This Row],[_Res2Units]]))</f>
        <v>0</v>
      </c>
      <c r="DR115" s="42" t="n">
        <f aca="false">IF(AND(AND(Tasks[[#This Row],[_IsLeaf]]=1,Tasks[[#This Row],[_LeafTotalWork]]&gt;0),Tasks[[#This Row],[_Res2Work]]&gt;0),Tasks[[#This Row],[_Res2Work]]/(Tasks[[#This Row],[_FinishWorkday]]-Tasks[[#This Row],[_StartWorkday]]+1),0)</f>
        <v>0</v>
      </c>
      <c r="DS115" s="42" t="n">
        <f aca="false">Tasks[[#This Row],[_Res2WorkPerWD]]*MAX(0,Tasks[[#This Row],[_StartWorkday]]-1)</f>
        <v>0</v>
      </c>
      <c r="DT115" s="42" t="n">
        <f aca="false">Tasks[[#This Row],[_Res2Work]]*Tasks[[#This Row],[_LeafProgress]]</f>
        <v>0</v>
      </c>
      <c r="DU115" s="42" t="str">
        <f aca="false">IF(Tasks[[#This Row],[_Res3Text]]="","",IF(Tasks[[#This Row],[_Res3Row]]&gt;0,INDEX(res_Name,Tasks[[#This Row],[_Res3Row]]),TRIM(LEFT(Tasks[[#This Row],[_Res3Text]],FIND("[",Tasks[[#This Row],[_Res3Text]]&amp;"[")-1))))</f>
        <v/>
      </c>
      <c r="DV1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5" s="42" t="n">
        <f aca="false">IF(OR(NOT(Tasks[[#This Row],[_IsLeaf]]=1),Tasks[[#This Row],[_Res3Row]]=0),0,N(Tasks[[#This Row],[_Days]])*HoursPerDay*IF(Tasks[[#This Row],[_Res3Units]]="",DefaultUnits,Tasks[[#This Row],[_Res3Units]]))</f>
        <v>0</v>
      </c>
      <c r="DX115" s="42" t="n">
        <f aca="false">IF(AND(AND(Tasks[[#This Row],[_IsLeaf]]=1,Tasks[[#This Row],[_LeafTotalWork]]&gt;0),Tasks[[#This Row],[_Res3Work]]&gt;0),Tasks[[#This Row],[_Res3Work]]/(Tasks[[#This Row],[_FinishWorkday]]-Tasks[[#This Row],[_StartWorkday]]+1),0)</f>
        <v>0</v>
      </c>
      <c r="DY115" s="42" t="n">
        <f aca="false">Tasks[[#This Row],[_Res3WorkPerWD]]*MAX(0,Tasks[[#This Row],[_StartWorkday]]-1)</f>
        <v>0</v>
      </c>
      <c r="DZ115" s="42" t="n">
        <f aca="false">Tasks[[#This Row],[_Res3Work]]*Tasks[[#This Row],[_LeafProgress]]</f>
        <v>0</v>
      </c>
      <c r="EA115" s="42" t="str">
        <f aca="false">IF(Tasks[[#This Row],[_Res4Text]]="","",IF(Tasks[[#This Row],[_Res4Row]]&gt;0,INDEX(res_Name,Tasks[[#This Row],[_Res4Row]]),TRIM(LEFT(Tasks[[#This Row],[_Res4Text]],FIND("[",Tasks[[#This Row],[_Res4Text]]&amp;"[")-1))))</f>
        <v/>
      </c>
      <c r="EB1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5" s="42" t="n">
        <f aca="false">IF(OR(NOT(Tasks[[#This Row],[_IsLeaf]]=1),Tasks[[#This Row],[_Res4Row]]=0),0,N(Tasks[[#This Row],[_Days]])*HoursPerDay*IF(Tasks[[#This Row],[_Res4Units]]="",DefaultUnits,Tasks[[#This Row],[_Res4Units]]))</f>
        <v>0</v>
      </c>
      <c r="ED115" s="42" t="n">
        <f aca="false">IF(AND(AND(Tasks[[#This Row],[_IsLeaf]]=1,Tasks[[#This Row],[_LeafTotalWork]]&gt;0),Tasks[[#This Row],[_Res4Work]]&gt;0),Tasks[[#This Row],[_Res4Work]]/(Tasks[[#This Row],[_FinishWorkday]]-Tasks[[#This Row],[_StartWorkday]]+1),0)</f>
        <v>0</v>
      </c>
      <c r="EE115" s="42" t="n">
        <f aca="false">Tasks[[#This Row],[_Res4WorkPerWD]]*MAX(0,Tasks[[#This Row],[_StartWorkday]]-1)</f>
        <v>0</v>
      </c>
      <c r="EF115" s="42" t="n">
        <f aca="false">Tasks[[#This Row],[_Res4Work]]*Tasks[[#This Row],[_LeafProgress]]</f>
        <v>0</v>
      </c>
      <c r="EG115" s="42" t="n">
        <f aca="false">IF(ISNUMBER(Tasks[[#This Row],[% Complete]]),Tasks[[#This Row],[% Complete]],IF(Tasks[[#This Row],[Stage]]="",0,IFERROR(INDEX(stg_Pct,MATCH(Tasks[[#This Row],[Stage]],stg_Name,0)),0)))</f>
        <v>0</v>
      </c>
      <c r="EH115" s="42" t="n">
        <f aca="false">IF(NOT(Tasks[[#This Row],[_IsLeaf]]=1),0,IF(N(Tasks[[#This Row],[Actual Finish]])&gt;0,1,MIN(1,Tasks[[#This Row],[_Pct]])))</f>
        <v>0</v>
      </c>
      <c r="EI115" s="42" t="n">
        <f aca="false">IF(OR(NOT(Tasks[[#This Row],[_IsLeaf]]=1),Tasks[[#This Row],[_Res1Row]]=0),0,N(Tasks[[#This Row],[_Days]])*HoursPerDay*IF(Tasks[[#This Row],[_Units1]]="",DefaultUnits,Tasks[[#This Row],[_Units1]]))</f>
        <v>0</v>
      </c>
      <c r="EJ115" s="42" t="n">
        <f aca="false">Tasks[[#This Row],[_LeafWork]]+Tasks[[#This Row],[_Res2Work]]+Tasks[[#This Row],[_Res3Work]]+Tasks[[#This Row],[_Res4Work]]</f>
        <v>0</v>
      </c>
      <c r="EK11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5" s="42" t="n">
        <f aca="false">IF(NOT(Tasks[[#This Row],[_IsLeaf]]=1),0,MAX(_xlfn.MAXIFS(Tasks[_Row],Tasks[_Pred1UID],Tasks[[#This Row],[UID]]),_xlfn.MAXIFS(Tasks[_Row],Tasks[_Pred2UID],Tasks[[#This Row],[UID]]),_xlfn.MAXIFS(Tasks[_Row],Tasks[_Pred3UID],Tasks[[#This Row],[UID]]),_xlfn.MAXIFS(Tasks[_Row],Tasks[_Pred4UID],Tasks[[#This Row],[UID]])))</f>
        <v>0</v>
      </c>
      <c r="ET11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5" s="89" t="str">
        <f aca="false">IF(NOT(Tasks[[#This Row],[_IsLeaf]]=1),"",IF(N(Tasks[[#This Row],[_Days]])&lt;=0,Tasks[[#This Row],[_LeafLateFinish]],WORKDAY.INTL(Tasks[[#This Row],[_LeafLateFinish]],-(Tasks[[#This Row],[_Days]]-1),WorkWeek,Holidays)))</f>
        <v/>
      </c>
      <c r="EW11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5" s="88" t="b">
        <f aca="false">AND(Tasks[[#This Row],[_IsLeaf]]=1,Tasks[[#This Row],[_LeafProgress]]&lt;1,N(Tasks[[#This Row],[_LeafTotalSlack]])&lt;=CriticalSlackDays)</f>
        <v>0</v>
      </c>
      <c r="EY115" s="42" t="n">
        <f aca="false">IF(AND(Tasks[[#This Row],[_IsLeaf]]=1,Tasks[[#This Row],[_ConstraintCode]]=1,Tasks[[#This Row],[Mode]]&lt;&gt;"Manual",N(Tasks[[#This Row],[Actual Start]])=0),MAX(0,N(Tasks[[#This Row],[Free Slack]])),0)</f>
        <v>0</v>
      </c>
      <c r="EZ115" s="89" t="str">
        <f aca="false">IF(NOT(Tasks[[#This Row],[_IsLeaf]]=1),"",IF(Tasks[[#This Row],[_AlapShift]]=0,Tasks[[#This Row],[_LeafCalcStart]],WORKDAY.INTL(Tasks[[#This Row],[_LeafCalcStart]],Tasks[[#This Row],[_AlapShift]],WorkWeek,Holidays)))</f>
        <v/>
      </c>
      <c r="FA115" s="89" t="str">
        <f aca="false">IF(NOT(Tasks[[#This Row],[_IsLeaf]]=1),"",IF(Tasks[[#This Row],[_AlapShift]]=0,Tasks[[#This Row],[_LeafCalcFinish]],WORKDAY.INTL(Tasks[[#This Row],[_LeafCalcFinish]],Tasks[[#This Row],[_AlapShift]],WorkWeek,Holidays)))</f>
        <v/>
      </c>
      <c r="FB115" s="89" t="str">
        <f aca="false">IF(NOT(Tasks[[#This Row],[_IsLeaf]]=1),"",IF(Tasks[[#This Row],[_AlapShift]]=0,Tasks[[#This Row],[_LeafFcstStart]],WORKDAY.INTL(Tasks[[#This Row],[_LeafFcstStart]],Tasks[[#This Row],[_AlapShift]],WorkWeek,Holidays)))</f>
        <v/>
      </c>
      <c r="FC115" s="89" t="str">
        <f aca="false">IF(NOT(Tasks[[#This Row],[_IsLeaf]]=1),"",IF(Tasks[[#This Row],[_AlapShift]]=0,Tasks[[#This Row],[_LeafFcstFinish]],WORKDAY.INTL(Tasks[[#This Row],[_LeafFcstFinish]],Tasks[[#This Row],[_AlapShift]],WorkWeek,Holidays)))</f>
        <v/>
      </c>
      <c r="FD115" s="89" t="str">
        <f aca="false">IF(Tasks[[#This Row],[Task Name]]="","",IF(Tasks[[#This Row],[_IsSummary]],MIN(INDEX(Tasks[_ShownCalcStart],Tasks[[#This Row],[_Row]]+1):INDEX(Tasks[_ShownCalcStart],Tasks[[#This Row],[_Row]]+Tasks[[#This Row],[_Descendants]])),Tasks[[#This Row],[_ShownCalcStart]]))</f>
        <v/>
      </c>
      <c r="FE115" s="89" t="str">
        <f aca="false">IF(Tasks[[#This Row],[Task Name]]="","",IF(Tasks[[#This Row],[_IsSummary]],MAX(INDEX(Tasks[_ShownCalcFinish],Tasks[[#This Row],[_Row]]+1):INDEX(Tasks[_ShownCalcFinish],Tasks[[#This Row],[_Row]]+Tasks[[#This Row],[_Descendants]])),Tasks[[#This Row],[_ShownCalcFinish]]))</f>
        <v/>
      </c>
      <c r="FF1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5" s="42" t="n">
        <f aca="false">IF(AND(Tasks[[#This Row],[_IsLeaf]]=1,Tasks[[#This Row],[_LeafTotalWork]]&gt;0),NETWORKDAYS.INTL(ProjectStart,Tasks[[#This Row],[_ShownFcstStart]],WorkWeek,Holidays),0)</f>
        <v>0</v>
      </c>
      <c r="FS115" s="42" t="n">
        <f aca="false">IF(AND(Tasks[[#This Row],[_IsLeaf]]=1,Tasks[[#This Row],[_LeafTotalWork]]&gt;0),MAX(Tasks[[#This Row],[_StartWorkday]],NETWORKDAYS.INTL(ProjectStart,Tasks[[#This Row],[_ShownFcstFinish]],WorkWeek,Holidays)),0)</f>
        <v>0</v>
      </c>
      <c r="FT115" s="42" t="n">
        <f aca="false">IF(AND(Tasks[[#This Row],[_IsLeaf]]=1,Tasks[[#This Row],[_LeafTotalWork]]&gt;0),Tasks[[#This Row],[_LeafWork]]/(Tasks[[#This Row],[_FinishWorkday]]-Tasks[[#This Row],[_StartWorkday]]+1),0)</f>
        <v>0</v>
      </c>
      <c r="FU115" s="42" t="n">
        <f aca="false">Tasks[[#This Row],[_WorkPerWorkday]]*(Tasks[[#This Row],[_StartWorkday]]-1)</f>
        <v>-0</v>
      </c>
      <c r="FV115" s="42" t="n">
        <f aca="false">IF(Tasks[[#This Row],[_IsLeaf]]=1,MAX(N(Tasks[[#This Row],[_Days]]),0.1),0)</f>
        <v>0</v>
      </c>
      <c r="FW115" s="42" t="n">
        <f aca="false">Tasks[[#This Row],[_WeightDur]]*Tasks[[#This Row],[_LeafProgress]]</f>
        <v>0</v>
      </c>
      <c r="FX115" s="42" t="n">
        <f aca="false">Tasks[[#This Row],[_WeightDur]]*Tasks[[#This Row],[_PlannedPct]]</f>
        <v>0</v>
      </c>
      <c r="FY1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5" s="42" t="str">
        <f aca="false">IF(AND(Tasks[[#This Row],[_IsLeaf]]=1,N(Tasks[[#This Row],[_Days]])=0,Tasks[[#This Row],[_LeafProgress]]&lt;1),Tasks[[#This Row],[_ShownFcstFinish]]+Tasks[[#This Row],[_Row]]/100000,"")</f>
        <v/>
      </c>
      <c r="GA1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5" s="42" t="str">
        <f aca="false">IF(Tasks[[#This Row],[Task Name]]="","",LEFT(Tasks[[#This Row],[WBS]],FIND(".",Tasks[[#This Row],[WBS]]&amp;".")-1))</f>
        <v/>
      </c>
      <c r="GC115" s="42" t="str">
        <f aca="false">IF(AND(Tasks[[#This Row],[Task Name]]&lt;&gt;"",Tasks[[#This Row],[_Level]]=1),Tasks[[#This Row],[_Row]],"")</f>
        <v/>
      </c>
      <c r="GD115" s="42" t="str">
        <f aca="false">IF(AND(Tasks[[#This Row],[_IsLeaf]]=1,N(Tasks[[#This Row],[_Days]])=0),Tasks[[#This Row],[Planned Finish]]+Tasks[[#This Row],[_Row]]/100000,"")</f>
        <v/>
      </c>
      <c r="GE115" s="42" t="str">
        <f aca="false">IF(AND(Tasks[[#This Row],[_IsLeaf]]=1,Tasks[[#This Row],[_LeafProgress]]&lt;1,OR(N(Tasks[[#This Row],[Finish Var]])&gt;0,Tasks[[#This Row],[Status]]="Late Start")),MAX(0,Tasks[[#This Row],[Finish Var]])+1-Tasks[[#This Row],[_Row]]/1000000,"")</f>
        <v/>
      </c>
      <c r="GF115" s="42" t="str">
        <f aca="false">IF(AND(Tasks[[#This Row],[_IsLeaf]]=1,N(Tasks[[#This Row],[Actual Start]])=0,Tasks[[#This Row],[_ShownFcstStart]]&gt;=StatusDate,Tasks[[#This Row],[_ShownFcstStart]]&lt;=LookaheadEnd),Tasks[[#This Row],[_ShownFcstStart]]+Tasks[[#This Row],[_Row]]/100000,"")</f>
        <v/>
      </c>
      <c r="GG115" s="42" t="str">
        <f aca="false">IF(AND(Tasks[[#This Row],[_IsLeaf]]=1,Tasks[[#This Row],[_LeafProgress]]&lt;1,Tasks[[#This Row],[_ShownFcstFinish]]&gt;=StatusDate,Tasks[[#This Row],[_ShownFcstFinish]]&lt;=LookaheadEnd),Tasks[[#This Row],[_ShownFcstFinish]]+Tasks[[#This Row],[_Row]]/100000,"")</f>
        <v/>
      </c>
      <c r="GH115" s="42" t="str">
        <f aca="false">IF(Tasks[[#This Row],[_LeafCritical]],Tasks[[#This Row],[_ShownFcstStart]]+Tasks[[#This Row],[_Row]]/100000,"")</f>
        <v/>
      </c>
      <c r="GI115" s="42" t="n">
        <f aca="false">Tasks[[#This Row],[_LeafWork]]*Tasks[[#This Row],[_LeafProgress]]</f>
        <v>0</v>
      </c>
      <c r="GJ115" s="89" t="str">
        <f aca="false">IF(AND(Tasks[[#This Row],[_IsLeaf]]=1,Tasks[[#This Row],[_LeafProgress]]&gt;=1),IF(N(Tasks[[#This Row],[Actual Finish]])&gt;0,Tasks[[#This Row],[Actual Finish]],Tasks[[#This Row],[_ShownFcstFinish]]),"")</f>
        <v/>
      </c>
      <c r="GK115" s="42" t="n">
        <f aca="false">IF(Tasks[[#This Row],[_IsLeaf]]=1,N(Tasks[[#This Row],[Story Points]]),0)</f>
        <v>0</v>
      </c>
      <c r="GL115" s="42" t="str">
        <f aca="false">""</f>
        <v/>
      </c>
      <c r="GM115" s="88" t="b">
        <f aca="false">IF(Tasks[[#This Row],[Task Name]]="",FALSE(),AND(Tasks[[#This Row],[_IsLeaf]]=1,N(Tasks[[#This Row],[_Days]])=0))</f>
        <v>0</v>
      </c>
      <c r="GN115" s="89" t="n">
        <f aca="false">IF(Tasks[[#This Row],[Task Name]]="",0,IF(AND(Tasks[[#This Row],[_IsLeaf]]=1,NOT(Tasks[[#This Row],[_IsMilestone]]),N(Tasks[[#This Row],[Progress]])&gt;0),Tasks[[#This Row],[Start]],0))</f>
        <v>0</v>
      </c>
      <c r="GO115" s="89" t="n">
        <f aca="false">IF(Tasks[[#This Row],[_DoneFrom]]=0,0,IF(Tasks[[#This Row],[Progress]]&gt;=1,Tasks[[#This Row],[Finish]],MAX(Tasks[[#This Row],[_DoneFrom]],Tasks[[#This Row],[Start]]+ROUND((Tasks[[#This Row],[Finish]]-Tasks[[#This Row],[Start]]+1)*Tasks[[#This Row],[Progress]],0)-1)))</f>
        <v>0</v>
      </c>
      <c r="GP115" s="89" t="n">
        <f aca="false">IF(Tasks[[#This Row],[Task Name]]="",0,IF(OR(NOT(Tasks[[#This Row],[_IsLeaf]]=1),Tasks[[#This Row],[_IsMilestone]],N(Tasks[[#This Row],[Progress]])&gt;=1),0,IF(Tasks[[#This Row],[_DoneTo]]&gt;0,Tasks[[#This Row],[_DoneTo]]+1,Tasks[[#This Row],[Start]])))</f>
        <v>0</v>
      </c>
      <c r="GQ115" s="89" t="n">
        <f aca="false">IF(Tasks[[#This Row],[_RemFrom]]=0,0,Tasks[[#This Row],[Finish]])</f>
        <v>0</v>
      </c>
      <c r="GR115" s="88" t="b">
        <f aca="false">IF(Tasks[[#This Row],[Task Name]]="",FALSE(),OR(NOT(BaselineSet),N(Tasks[[#This Row],[Baseline Start]])&gt;0))</f>
        <v>0</v>
      </c>
      <c r="GS11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5" s="90" t="str">
        <f aca="false">IF(Tasks[[#This Row],[_IsLeaf]]=1,Tasks[[#This Row],[_Row]],"")</f>
        <v/>
      </c>
      <c r="GW115" s="90" t="str">
        <f aca="false">IFERROR(INDEX(Tasks[UID],SMALL(Tasks[_PickKey],Tasks[[#This Row],[_Row]]))&amp;" "&amp;INDEX(Tasks[Task Name],SMALL(Tasks[_PickKey],Tasks[[#This Row],[_Row]])),"")</f>
        <v/>
      </c>
      <c r="GX115" s="42" t="str">
        <f aca="false">IF(Tasks[[#This Row],[Task Name]]="","",IF(Tasks[[#This Row],[_IsSummary]],NETWORKDAYS.INTL(Tasks[[#This Row],[Start]],Tasks[[#This Row],[Finish]],WorkWeek,Holidays),N(Tasks[[#This Row],[_Days]])))</f>
        <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3"/>
      <c r="U116" s="23"/>
      <c r="V116" s="83"/>
      <c r="W116" s="23"/>
      <c r="X116" s="83"/>
      <c r="Y116" s="23"/>
      <c r="Z116" s="83"/>
      <c r="AA116" s="23"/>
      <c r="AB116" s="23"/>
      <c r="AC116" s="7"/>
      <c r="AD116" s="7"/>
      <c r="AE116" s="62" t="str">
        <f aca="false">IF(Tasks[[#This Row],[Task Name]]="","",IF(Tasks[[#This Row],[_IsSummary]],MIN(INDEX(Tasks[_ShownFcstStart],Tasks[[#This Row],[_Row]]+1):INDEX(Tasks[_ShownFcstStart],Tasks[[#This Row],[_Row]]+Tasks[[#This Row],[_Descendants]])),Tasks[[#This Row],[_ShownFcstStart]]))</f>
        <v/>
      </c>
      <c r="AF116" s="62"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6" s="7"/>
      <c r="AK116" s="22"/>
      <c r="AL116" s="23"/>
      <c r="AM116" s="7"/>
      <c r="AN116" s="46"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2" t="str">
        <f aca="false">IF(Tasks[[#This Row],[Task Name]]="","",IF(N(Tasks[[#This Row],[Baseline Start]])&gt;0,Tasks[[#This Row],[Baseline Start]],Tasks[[#This Row],[_CalcStart]]))</f>
        <v/>
      </c>
      <c r="AR116" s="62" t="str">
        <f aca="false">IF(Tasks[[#This Row],[Task Name]]="","",IF(N(Tasks[[#This Row],[Baseline Finish]])&gt;0,Tasks[[#This Row],[Baseline Finish]],Tasks[[#This Row],[_CalcFinish]]))</f>
        <v/>
      </c>
      <c r="AS116" s="46" t="str">
        <f aca="false">IF(Tasks[[#This Row],[Task Name]]="","",IF(Tasks[[#This Row],[Start]]&gt;=Tasks[[#This Row],[Planned Start]],NETWORKDAYS.INTL(Tasks[[#This Row],[Planned Start]],Tasks[[#This Row],[Start]],WorkWeek,Holidays)-1,1-NETWORKDAYS.INTL(Tasks[[#This Row],[Start]],Tasks[[#This Row],[Planned Start]],WorkWeek,Holidays)))</f>
        <v/>
      </c>
      <c r="AT116" s="62" t="str">
        <f aca="false">IF(Tasks[[#This Row],[Task Name]]="","",IF(Tasks[[#This Row],[_IsSummary]],MIN(INDEX(Tasks[_LeafLateStart],Tasks[[#This Row],[_Row]]+1):INDEX(Tasks[_LeafLateStart],Tasks[[#This Row],[_Row]]+Tasks[[#This Row],[_Descendants]])),Tasks[[#This Row],[_LeafLateStart]]))</f>
        <v/>
      </c>
      <c r="AU116" s="62" t="str">
        <f aca="false">IF(Tasks[[#This Row],[Task Name]]="","",IF(Tasks[[#This Row],[_IsSummary]],MAX(INDEX(Tasks[_LeafLateFinish],Tasks[[#This Row],[_Row]]+1):INDEX(Tasks[_LeafLateFinish],Tasks[[#This Row],[_Row]]+Tasks[[#This Row],[_Descendants]])),Tasks[[#This Row],[_LeafLateFinish]]))</f>
        <v/>
      </c>
      <c r="AV116" s="46"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4"/>
      <c r="BA11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5"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6"/>
      <c r="BJ116" s="22"/>
      <c r="BK116" s="46" t="str">
        <f aca="false">IF(OR(Tasks[[#This Row],[Task Name]]="",Tasks[[#This Row],[Baseline Duration]]=""),"",Tasks[[#This Row],[_SpanDays]]-N(Tasks[[#This Row],[Baseline Duration]]))</f>
        <v/>
      </c>
      <c r="BL116" s="85" t="str">
        <f aca="false">IF(OR(Tasks[[#This Row],[Task Name]]="",Tasks[[#This Row],[Baseline Work]]=""),"",Tasks[[#This Row],[Work]]-N(Tasks[[#This Row],[Baseline Work]]))</f>
        <v/>
      </c>
      <c r="BM116" s="62" t="str">
        <f aca="false">IF(Tasks[[#This Row],[Task Name]]="","",IF(OR(TakeBaseline="Yes",N(Tasks[[#This Row],[Baseline Start]])=0),Tasks[[#This Row],[Start]],Tasks[[#This Row],[Baseline Start]]))</f>
        <v/>
      </c>
      <c r="BN116" s="62"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5" t="str">
        <f aca="false">IF(Tasks[[#This Row],[Task Name]]="","",IF(OR(TakeBaseline="Yes",N(Tasks[[#This Row],[Baseline Work]])=0),Tasks[[#This Row],[Work]],Tasks[[#This Row],[Baseline Work]]))</f>
        <v/>
      </c>
      <c r="BQ116" s="7"/>
      <c r="BR116" s="7"/>
      <c r="BS116" s="22"/>
      <c r="BT116" s="87"/>
      <c r="BU116" s="42" t="str">
        <f aca="false">IF(Tasks[[#This Row],[Task Name]]="","",MAX(1,N(Tasks[[#This Row],[Level]])))</f>
        <v/>
      </c>
      <c r="BV116" s="42" t="n">
        <f aca="false">ROW()-ROW(Tasks[[#Headers],[ID]])</f>
        <v>111</v>
      </c>
      <c r="BW116" s="42" t="n">
        <f aca="false">IF(OR(Tasks[[#This Row],[Task Name]]="",Tasks[[#This Row],[_Level]]&lt;=1),0,IFERROR(LOOKUP(2,1/(Tasks[[#Headers],[_Level]]:Tasks[[#This Row],[_Level]]=Tasks[[#This Row],[_Level]]-1),ROW(Tasks[[#Headers],[_Level]]:Tasks[[#This Row],[_Level]])),0))</f>
        <v>0</v>
      </c>
      <c r="BX116" s="42" t="n">
        <f aca="false">IFERROR(N(INDEX(Tasks[_Level],Tasks[[#This Row],[_Row]]+1)),0)</f>
        <v>0</v>
      </c>
      <c r="BY116" s="88" t="b">
        <f aca="false">AND(Tasks[[#This Row],[Task Name]]&lt;&gt;"",Tasks[[#This Row],[_NextLevel]]&gt;Tasks[[#This Row],[_Level]])</f>
        <v>0</v>
      </c>
      <c r="BZ116" s="42" t="n">
        <f aca="false">IF(Tasks[[#This Row],[_IsSummary]],COUNTIF(Tasks[WBS],Tasks[[#This Row],[WBS]]&amp;".*"),0)</f>
        <v>0</v>
      </c>
      <c r="CA116" s="42" t="n">
        <f aca="false">IF(AND(Tasks[[#This Row],[Task Name]]&lt;&gt;"",NOT(Tasks[[#This Row],[_IsSummary]])),1,0)</f>
        <v>0</v>
      </c>
      <c r="CB116" s="42" t="n">
        <f aca="false">IF(N(Tasks[[#This Row],[_Pred1UID]])=0,0,IFERROR(MATCH(Tasks[[#This Row],[_Pred1UID]],Tasks[UID],0),-1))</f>
        <v>0</v>
      </c>
      <c r="CC116" s="42" t="n">
        <f aca="false">IF(N(Tasks[[#This Row],[_Pred2UID]])=0,0,IFERROR(MATCH(Tasks[[#This Row],[_Pred2UID]],Tasks[UID],0),-1))</f>
        <v>0</v>
      </c>
      <c r="CD116" s="42" t="n">
        <f aca="false">IF(N(Tasks[[#This Row],[_Pred3UID]])=0,0,IFERROR(MATCH(Tasks[[#This Row],[_Pred3UID]],Tasks[UID],0),-1))</f>
        <v>0</v>
      </c>
      <c r="CE116" s="42" t="n">
        <f aca="false">IF(N(Tasks[[#This Row],[_Pred4UID]])=0,0,IFERROR(MATCH(Tasks[[#This Row],[_Pred4UID]],Tasks[UID],0),-1))</f>
        <v>0</v>
      </c>
      <c r="CF11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6" s="89" t="n">
        <f aca="false">IF(OR(Tasks[[#This Row],[_ConstraintCode]]=2,Tasks[[#This Row],[_ConstraintCode]]=3,Tasks[[#This Row],[_ConstraintCode]]=4,Tasks[[#This Row],[_ConstraintCode]]=6),Tasks[[#This Row],[_ConstraintStart]],0)</f>
        <v>0</v>
      </c>
      <c r="CI116" s="89" t="n">
        <f aca="false">IF(OR(Tasks[[#This Row],[_ConstraintCode]]=2,Tasks[[#This Row],[_ConstraintCode]]=3,Tasks[[#This Row],[_ConstraintCode]]=5,Tasks[[#This Row],[_ConstraintCode]]=7),Tasks[[#This Row],[_ConstraintStart]],2958465)</f>
        <v>2958465</v>
      </c>
      <c r="CJ11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6" s="89" t="str">
        <f aca="false">IF(NOT(Tasks[[#This Row],[_IsLeaf]]=1),"",IF(N(Tasks[[#This Row],[_Days]])&lt;=0,Tasks[[#This Row],[_LeafCalcStart]],WORKDAY.INTL(Tasks[[#This Row],[_LeafCalcStart]],Tasks[[#This Row],[_Days]]-1,WorkWeek,Holidays)))</f>
        <v/>
      </c>
      <c r="CL11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6" s="42" t="str">
        <f aca="false">IF(Tasks[[#This Row],[_Predecessors]]="","",TRIM(MID(SUBSTITUTE(SUBSTITUTE(SUBSTITUTE(UPPER(Tasks[[#This Row],[_Predecessors]]),";",",")," ",""),",",REPT(" ",99)),1,99)))</f>
        <v/>
      </c>
      <c r="CO116" s="42" t="str">
        <f aca="false">IF(Tasks[[#This Row],[_Pred1Text]]="","",IFERROR(VALUE(LEFT(Tasks[[#This Row],[_Pred1Text]],MIN(FIND("F",Tasks[[#This Row],[_Pred1Text]]&amp;"F"),FIND("S",Tasks[[#This Row],[_Pred1Text]]&amp;"S"),FIND("+",Tasks[[#This Row],[_Pred1Text]]&amp;"+"),FIND("-",Tasks[[#This Row],[_Pred1Text]]&amp;"-"))-1)),""))</f>
        <v/>
      </c>
      <c r="CP1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6" s="42" t="str">
        <f aca="false">IF(Tasks[[#This Row],[_Pred1Text]]="","",TRIM(MID(SUBSTITUTE(SUBSTITUTE(SUBSTITUTE(UPPER(Tasks[[#This Row],[_Predecessors]]),";",",")," ",""),",",REPT(" ",99)),100,99)))</f>
        <v/>
      </c>
      <c r="CS116" s="42" t="str">
        <f aca="false">IF(Tasks[[#This Row],[_Pred2Text]]="","",IFERROR(VALUE(LEFT(Tasks[[#This Row],[_Pred2Text]],MIN(FIND("F",Tasks[[#This Row],[_Pred2Text]]&amp;"F"),FIND("S",Tasks[[#This Row],[_Pred2Text]]&amp;"S"),FIND("+",Tasks[[#This Row],[_Pred2Text]]&amp;"+"),FIND("-",Tasks[[#This Row],[_Pred2Text]]&amp;"-"))-1)),""))</f>
        <v/>
      </c>
      <c r="CT1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6" s="42" t="str">
        <f aca="false">IF(Tasks[[#This Row],[_Pred2Text]]="","",TRIM(MID(SUBSTITUTE(SUBSTITUTE(SUBSTITUTE(UPPER(Tasks[[#This Row],[_Predecessors]]),";",",")," ",""),",",REPT(" ",99)),199,99)))</f>
        <v/>
      </c>
      <c r="CW116" s="42" t="str">
        <f aca="false">IF(Tasks[[#This Row],[_Pred3Text]]="","",IFERROR(VALUE(LEFT(Tasks[[#This Row],[_Pred3Text]],MIN(FIND("F",Tasks[[#This Row],[_Pred3Text]]&amp;"F"),FIND("S",Tasks[[#This Row],[_Pred3Text]]&amp;"S"),FIND("+",Tasks[[#This Row],[_Pred3Text]]&amp;"+"),FIND("-",Tasks[[#This Row],[_Pred3Text]]&amp;"-"))-1)),""))</f>
        <v/>
      </c>
      <c r="CX1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6" s="42" t="str">
        <f aca="false">IF(Tasks[[#This Row],[_Pred3Text]]="","",TRIM(MID(SUBSTITUTE(SUBSTITUTE(SUBSTITUTE(UPPER(Tasks[[#This Row],[_Predecessors]]),";",",")," ",""),",",REPT(" ",99)),298,99)))</f>
        <v/>
      </c>
      <c r="DA116" s="42" t="str">
        <f aca="false">IF(Tasks[[#This Row],[_Pred4Text]]="","",IFERROR(VALUE(LEFT(Tasks[[#This Row],[_Pred4Text]],MIN(FIND("F",Tasks[[#This Row],[_Pred4Text]]&amp;"F"),FIND("S",Tasks[[#This Row],[_Pred4Text]]&amp;"S"),FIND("+",Tasks[[#This Row],[_Pred4Text]]&amp;"+"),FIND("-",Tasks[[#This Row],[_Pred4Text]]&amp;"-"))-1)),""))</f>
        <v/>
      </c>
      <c r="DB1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6" s="42" t="str">
        <f aca="false">IF(OR(Tasks[[#This Row],[Task Name]]="",Tasks[[#This Row],[_Resources]]=""),"",TRIM(MID(SUBSTITUTE(Tasks[[#This Row],[_Resources]],",",REPT(" ",99)),1,99)))</f>
        <v/>
      </c>
      <c r="DE116" s="42" t="str">
        <f aca="false">IF(Tasks[[#This Row],[_Res1Text]]="","",TRIM(MID(SUBSTITUTE(Tasks[[#This Row],[_Resources]],",",REPT(" ",99)),100,99)))</f>
        <v/>
      </c>
      <c r="DF116" s="42" t="str">
        <f aca="false">IF(Tasks[[#This Row],[_Res2Text]]="","",TRIM(MID(SUBSTITUTE(Tasks[[#This Row],[_Resources]],",",REPT(" ",99)),199,99)))</f>
        <v/>
      </c>
      <c r="DG116" s="42" t="str">
        <f aca="false">IF(Tasks[[#This Row],[_Res3Text]]="","",TRIM(MID(SUBSTITUTE(Tasks[[#This Row],[_Resources]],",",REPT(" ",99)),298,99)))</f>
        <v/>
      </c>
      <c r="DH116" s="42" t="n">
        <f aca="false">IF(Tasks[[#This Row],[_Res1Text]]="",0,IFERROR(MATCH(TRIM(LEFT(Tasks[[#This Row],[_Res1Text]],FIND("[",Tasks[[#This Row],[_Res1Text]]&amp;"[")-1)),res_Name,0),IFERROR(MATCH(TRIM(LEFT(Tasks[[#This Row],[_Res1Text]],FIND("[",Tasks[[#This Row],[_Res1Text]]&amp;"[")-1)),res_Initials,0),0)))</f>
        <v>0</v>
      </c>
      <c r="DI116" s="42" t="n">
        <f aca="false">IF(Tasks[[#This Row],[_Res2Text]]="",0,IFERROR(MATCH(TRIM(LEFT(Tasks[[#This Row],[_Res2Text]],FIND("[",Tasks[[#This Row],[_Res2Text]]&amp;"[")-1)),res_Name,0),IFERROR(MATCH(TRIM(LEFT(Tasks[[#This Row],[_Res2Text]],FIND("[",Tasks[[#This Row],[_Res2Text]]&amp;"[")-1)),res_Initials,0),0)))</f>
        <v>0</v>
      </c>
      <c r="DJ116" s="42" t="n">
        <f aca="false">IF(Tasks[[#This Row],[_Res3Text]]="",0,IFERROR(MATCH(TRIM(LEFT(Tasks[[#This Row],[_Res3Text]],FIND("[",Tasks[[#This Row],[_Res3Text]]&amp;"[")-1)),res_Name,0),IFERROR(MATCH(TRIM(LEFT(Tasks[[#This Row],[_Res3Text]],FIND("[",Tasks[[#This Row],[_Res3Text]]&amp;"[")-1)),res_Initials,0),0)))</f>
        <v>0</v>
      </c>
      <c r="DK116" s="42" t="n">
        <f aca="false">IF(Tasks[[#This Row],[_Res4Text]]="",0,IFERROR(MATCH(TRIM(LEFT(Tasks[[#This Row],[_Res4Text]],FIND("[",Tasks[[#This Row],[_Res4Text]]&amp;"[")-1)),res_Name,0),IFERROR(MATCH(TRIM(LEFT(Tasks[[#This Row],[_Res4Text]],FIND("[",Tasks[[#This Row],[_Res4Text]]&amp;"[")-1)),res_Initials,0),0)))</f>
        <v>0</v>
      </c>
      <c r="DL116" s="42" t="str">
        <f aca="false">IF(Tasks[[#This Row],[_Res1Text]]="","",IF(Tasks[[#This Row],[_Res1Row]]&gt;0,INDEX(res_Name,Tasks[[#This Row],[_Res1Row]]),TRIM(LEFT(Tasks[[#This Row],[_Res1Text]],FIND("[",Tasks[[#This Row],[_Res1Text]]&amp;"[")-1))))</f>
        <v/>
      </c>
      <c r="DM1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6" s="42" t="n">
        <f aca="false">IF(NOT(Tasks[[#This Row],[_IsLeaf]]=1),0,(Tasks[[#This Row],[_Resource1]]&lt;&gt;"")+(Tasks[[#This Row],[_Res2]]&lt;&gt;"")+(Tasks[[#This Row],[_Res3]]&lt;&gt;"")+(Tasks[[#This Row],[_Res4]]&lt;&gt;""))</f>
        <v>0</v>
      </c>
      <c r="DO116" s="42" t="str">
        <f aca="false">IF(Tasks[[#This Row],[_Res2Text]]="","",IF(Tasks[[#This Row],[_Res2Row]]&gt;0,INDEX(res_Name,Tasks[[#This Row],[_Res2Row]]),TRIM(LEFT(Tasks[[#This Row],[_Res2Text]],FIND("[",Tasks[[#This Row],[_Res2Text]]&amp;"[")-1))))</f>
        <v/>
      </c>
      <c r="DP1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6" s="42" t="n">
        <f aca="false">IF(OR(NOT(Tasks[[#This Row],[_IsLeaf]]=1),Tasks[[#This Row],[_Res2Row]]=0),0,N(Tasks[[#This Row],[_Days]])*HoursPerDay*IF(Tasks[[#This Row],[_Res2Units]]="",DefaultUnits,Tasks[[#This Row],[_Res2Units]]))</f>
        <v>0</v>
      </c>
      <c r="DR116" s="42" t="n">
        <f aca="false">IF(AND(AND(Tasks[[#This Row],[_IsLeaf]]=1,Tasks[[#This Row],[_LeafTotalWork]]&gt;0),Tasks[[#This Row],[_Res2Work]]&gt;0),Tasks[[#This Row],[_Res2Work]]/(Tasks[[#This Row],[_FinishWorkday]]-Tasks[[#This Row],[_StartWorkday]]+1),0)</f>
        <v>0</v>
      </c>
      <c r="DS116" s="42" t="n">
        <f aca="false">Tasks[[#This Row],[_Res2WorkPerWD]]*MAX(0,Tasks[[#This Row],[_StartWorkday]]-1)</f>
        <v>0</v>
      </c>
      <c r="DT116" s="42" t="n">
        <f aca="false">Tasks[[#This Row],[_Res2Work]]*Tasks[[#This Row],[_LeafProgress]]</f>
        <v>0</v>
      </c>
      <c r="DU116" s="42" t="str">
        <f aca="false">IF(Tasks[[#This Row],[_Res3Text]]="","",IF(Tasks[[#This Row],[_Res3Row]]&gt;0,INDEX(res_Name,Tasks[[#This Row],[_Res3Row]]),TRIM(LEFT(Tasks[[#This Row],[_Res3Text]],FIND("[",Tasks[[#This Row],[_Res3Text]]&amp;"[")-1))))</f>
        <v/>
      </c>
      <c r="DV1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6" s="42" t="n">
        <f aca="false">IF(OR(NOT(Tasks[[#This Row],[_IsLeaf]]=1),Tasks[[#This Row],[_Res3Row]]=0),0,N(Tasks[[#This Row],[_Days]])*HoursPerDay*IF(Tasks[[#This Row],[_Res3Units]]="",DefaultUnits,Tasks[[#This Row],[_Res3Units]]))</f>
        <v>0</v>
      </c>
      <c r="DX116" s="42" t="n">
        <f aca="false">IF(AND(AND(Tasks[[#This Row],[_IsLeaf]]=1,Tasks[[#This Row],[_LeafTotalWork]]&gt;0),Tasks[[#This Row],[_Res3Work]]&gt;0),Tasks[[#This Row],[_Res3Work]]/(Tasks[[#This Row],[_FinishWorkday]]-Tasks[[#This Row],[_StartWorkday]]+1),0)</f>
        <v>0</v>
      </c>
      <c r="DY116" s="42" t="n">
        <f aca="false">Tasks[[#This Row],[_Res3WorkPerWD]]*MAX(0,Tasks[[#This Row],[_StartWorkday]]-1)</f>
        <v>0</v>
      </c>
      <c r="DZ116" s="42" t="n">
        <f aca="false">Tasks[[#This Row],[_Res3Work]]*Tasks[[#This Row],[_LeafProgress]]</f>
        <v>0</v>
      </c>
      <c r="EA116" s="42" t="str">
        <f aca="false">IF(Tasks[[#This Row],[_Res4Text]]="","",IF(Tasks[[#This Row],[_Res4Row]]&gt;0,INDEX(res_Name,Tasks[[#This Row],[_Res4Row]]),TRIM(LEFT(Tasks[[#This Row],[_Res4Text]],FIND("[",Tasks[[#This Row],[_Res4Text]]&amp;"[")-1))))</f>
        <v/>
      </c>
      <c r="EB1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6" s="42" t="n">
        <f aca="false">IF(OR(NOT(Tasks[[#This Row],[_IsLeaf]]=1),Tasks[[#This Row],[_Res4Row]]=0),0,N(Tasks[[#This Row],[_Days]])*HoursPerDay*IF(Tasks[[#This Row],[_Res4Units]]="",DefaultUnits,Tasks[[#This Row],[_Res4Units]]))</f>
        <v>0</v>
      </c>
      <c r="ED116" s="42" t="n">
        <f aca="false">IF(AND(AND(Tasks[[#This Row],[_IsLeaf]]=1,Tasks[[#This Row],[_LeafTotalWork]]&gt;0),Tasks[[#This Row],[_Res4Work]]&gt;0),Tasks[[#This Row],[_Res4Work]]/(Tasks[[#This Row],[_FinishWorkday]]-Tasks[[#This Row],[_StartWorkday]]+1),0)</f>
        <v>0</v>
      </c>
      <c r="EE116" s="42" t="n">
        <f aca="false">Tasks[[#This Row],[_Res4WorkPerWD]]*MAX(0,Tasks[[#This Row],[_StartWorkday]]-1)</f>
        <v>0</v>
      </c>
      <c r="EF116" s="42" t="n">
        <f aca="false">Tasks[[#This Row],[_Res4Work]]*Tasks[[#This Row],[_LeafProgress]]</f>
        <v>0</v>
      </c>
      <c r="EG116" s="42" t="n">
        <f aca="false">IF(ISNUMBER(Tasks[[#This Row],[% Complete]]),Tasks[[#This Row],[% Complete]],IF(Tasks[[#This Row],[Stage]]="",0,IFERROR(INDEX(stg_Pct,MATCH(Tasks[[#This Row],[Stage]],stg_Name,0)),0)))</f>
        <v>0</v>
      </c>
      <c r="EH116" s="42" t="n">
        <f aca="false">IF(NOT(Tasks[[#This Row],[_IsLeaf]]=1),0,IF(N(Tasks[[#This Row],[Actual Finish]])&gt;0,1,MIN(1,Tasks[[#This Row],[_Pct]])))</f>
        <v>0</v>
      </c>
      <c r="EI116" s="42" t="n">
        <f aca="false">IF(OR(NOT(Tasks[[#This Row],[_IsLeaf]]=1),Tasks[[#This Row],[_Res1Row]]=0),0,N(Tasks[[#This Row],[_Days]])*HoursPerDay*IF(Tasks[[#This Row],[_Units1]]="",DefaultUnits,Tasks[[#This Row],[_Units1]]))</f>
        <v>0</v>
      </c>
      <c r="EJ116" s="42" t="n">
        <f aca="false">Tasks[[#This Row],[_LeafWork]]+Tasks[[#This Row],[_Res2Work]]+Tasks[[#This Row],[_Res3Work]]+Tasks[[#This Row],[_Res4Work]]</f>
        <v>0</v>
      </c>
      <c r="EK11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6" s="42" t="n">
        <f aca="false">IF(NOT(Tasks[[#This Row],[_IsLeaf]]=1),0,MAX(_xlfn.MAXIFS(Tasks[_Row],Tasks[_Pred1UID],Tasks[[#This Row],[UID]]),_xlfn.MAXIFS(Tasks[_Row],Tasks[_Pred2UID],Tasks[[#This Row],[UID]]),_xlfn.MAXIFS(Tasks[_Row],Tasks[_Pred3UID],Tasks[[#This Row],[UID]]),_xlfn.MAXIFS(Tasks[_Row],Tasks[_Pred4UID],Tasks[[#This Row],[UID]])))</f>
        <v>0</v>
      </c>
      <c r="ET11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6" s="89" t="str">
        <f aca="false">IF(NOT(Tasks[[#This Row],[_IsLeaf]]=1),"",IF(N(Tasks[[#This Row],[_Days]])&lt;=0,Tasks[[#This Row],[_LeafLateFinish]],WORKDAY.INTL(Tasks[[#This Row],[_LeafLateFinish]],-(Tasks[[#This Row],[_Days]]-1),WorkWeek,Holidays)))</f>
        <v/>
      </c>
      <c r="EW11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6" s="88" t="b">
        <f aca="false">AND(Tasks[[#This Row],[_IsLeaf]]=1,Tasks[[#This Row],[_LeafProgress]]&lt;1,N(Tasks[[#This Row],[_LeafTotalSlack]])&lt;=CriticalSlackDays)</f>
        <v>0</v>
      </c>
      <c r="EY116" s="42" t="n">
        <f aca="false">IF(AND(Tasks[[#This Row],[_IsLeaf]]=1,Tasks[[#This Row],[_ConstraintCode]]=1,Tasks[[#This Row],[Mode]]&lt;&gt;"Manual",N(Tasks[[#This Row],[Actual Start]])=0),MAX(0,N(Tasks[[#This Row],[Free Slack]])),0)</f>
        <v>0</v>
      </c>
      <c r="EZ116" s="89" t="str">
        <f aca="false">IF(NOT(Tasks[[#This Row],[_IsLeaf]]=1),"",IF(Tasks[[#This Row],[_AlapShift]]=0,Tasks[[#This Row],[_LeafCalcStart]],WORKDAY.INTL(Tasks[[#This Row],[_LeafCalcStart]],Tasks[[#This Row],[_AlapShift]],WorkWeek,Holidays)))</f>
        <v/>
      </c>
      <c r="FA116" s="89" t="str">
        <f aca="false">IF(NOT(Tasks[[#This Row],[_IsLeaf]]=1),"",IF(Tasks[[#This Row],[_AlapShift]]=0,Tasks[[#This Row],[_LeafCalcFinish]],WORKDAY.INTL(Tasks[[#This Row],[_LeafCalcFinish]],Tasks[[#This Row],[_AlapShift]],WorkWeek,Holidays)))</f>
        <v/>
      </c>
      <c r="FB116" s="89" t="str">
        <f aca="false">IF(NOT(Tasks[[#This Row],[_IsLeaf]]=1),"",IF(Tasks[[#This Row],[_AlapShift]]=0,Tasks[[#This Row],[_LeafFcstStart]],WORKDAY.INTL(Tasks[[#This Row],[_LeafFcstStart]],Tasks[[#This Row],[_AlapShift]],WorkWeek,Holidays)))</f>
        <v/>
      </c>
      <c r="FC116" s="89" t="str">
        <f aca="false">IF(NOT(Tasks[[#This Row],[_IsLeaf]]=1),"",IF(Tasks[[#This Row],[_AlapShift]]=0,Tasks[[#This Row],[_LeafFcstFinish]],WORKDAY.INTL(Tasks[[#This Row],[_LeafFcstFinish]],Tasks[[#This Row],[_AlapShift]],WorkWeek,Holidays)))</f>
        <v/>
      </c>
      <c r="FD116" s="89" t="str">
        <f aca="false">IF(Tasks[[#This Row],[Task Name]]="","",IF(Tasks[[#This Row],[_IsSummary]],MIN(INDEX(Tasks[_ShownCalcStart],Tasks[[#This Row],[_Row]]+1):INDEX(Tasks[_ShownCalcStart],Tasks[[#This Row],[_Row]]+Tasks[[#This Row],[_Descendants]])),Tasks[[#This Row],[_ShownCalcStart]]))</f>
        <v/>
      </c>
      <c r="FE116" s="89" t="str">
        <f aca="false">IF(Tasks[[#This Row],[Task Name]]="","",IF(Tasks[[#This Row],[_IsSummary]],MAX(INDEX(Tasks[_ShownCalcFinish],Tasks[[#This Row],[_Row]]+1):INDEX(Tasks[_ShownCalcFinish],Tasks[[#This Row],[_Row]]+Tasks[[#This Row],[_Descendants]])),Tasks[[#This Row],[_ShownCalcFinish]]))</f>
        <v/>
      </c>
      <c r="FF1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6" s="42" t="n">
        <f aca="false">IF(AND(Tasks[[#This Row],[_IsLeaf]]=1,Tasks[[#This Row],[_LeafTotalWork]]&gt;0),NETWORKDAYS.INTL(ProjectStart,Tasks[[#This Row],[_ShownFcstStart]],WorkWeek,Holidays),0)</f>
        <v>0</v>
      </c>
      <c r="FS116" s="42" t="n">
        <f aca="false">IF(AND(Tasks[[#This Row],[_IsLeaf]]=1,Tasks[[#This Row],[_LeafTotalWork]]&gt;0),MAX(Tasks[[#This Row],[_StartWorkday]],NETWORKDAYS.INTL(ProjectStart,Tasks[[#This Row],[_ShownFcstFinish]],WorkWeek,Holidays)),0)</f>
        <v>0</v>
      </c>
      <c r="FT116" s="42" t="n">
        <f aca="false">IF(AND(Tasks[[#This Row],[_IsLeaf]]=1,Tasks[[#This Row],[_LeafTotalWork]]&gt;0),Tasks[[#This Row],[_LeafWork]]/(Tasks[[#This Row],[_FinishWorkday]]-Tasks[[#This Row],[_StartWorkday]]+1),0)</f>
        <v>0</v>
      </c>
      <c r="FU116" s="42" t="n">
        <f aca="false">Tasks[[#This Row],[_WorkPerWorkday]]*(Tasks[[#This Row],[_StartWorkday]]-1)</f>
        <v>-0</v>
      </c>
      <c r="FV116" s="42" t="n">
        <f aca="false">IF(Tasks[[#This Row],[_IsLeaf]]=1,MAX(N(Tasks[[#This Row],[_Days]]),0.1),0)</f>
        <v>0</v>
      </c>
      <c r="FW116" s="42" t="n">
        <f aca="false">Tasks[[#This Row],[_WeightDur]]*Tasks[[#This Row],[_LeafProgress]]</f>
        <v>0</v>
      </c>
      <c r="FX116" s="42" t="n">
        <f aca="false">Tasks[[#This Row],[_WeightDur]]*Tasks[[#This Row],[_PlannedPct]]</f>
        <v>0</v>
      </c>
      <c r="FY1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6" s="42" t="str">
        <f aca="false">IF(AND(Tasks[[#This Row],[_IsLeaf]]=1,N(Tasks[[#This Row],[_Days]])=0,Tasks[[#This Row],[_LeafProgress]]&lt;1),Tasks[[#This Row],[_ShownFcstFinish]]+Tasks[[#This Row],[_Row]]/100000,"")</f>
        <v/>
      </c>
      <c r="GA1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6" s="42" t="str">
        <f aca="false">IF(Tasks[[#This Row],[Task Name]]="","",LEFT(Tasks[[#This Row],[WBS]],FIND(".",Tasks[[#This Row],[WBS]]&amp;".")-1))</f>
        <v/>
      </c>
      <c r="GC116" s="42" t="str">
        <f aca="false">IF(AND(Tasks[[#This Row],[Task Name]]&lt;&gt;"",Tasks[[#This Row],[_Level]]=1),Tasks[[#This Row],[_Row]],"")</f>
        <v/>
      </c>
      <c r="GD116" s="42" t="str">
        <f aca="false">IF(AND(Tasks[[#This Row],[_IsLeaf]]=1,N(Tasks[[#This Row],[_Days]])=0),Tasks[[#This Row],[Planned Finish]]+Tasks[[#This Row],[_Row]]/100000,"")</f>
        <v/>
      </c>
      <c r="GE116" s="42" t="str">
        <f aca="false">IF(AND(Tasks[[#This Row],[_IsLeaf]]=1,Tasks[[#This Row],[_LeafProgress]]&lt;1,OR(N(Tasks[[#This Row],[Finish Var]])&gt;0,Tasks[[#This Row],[Status]]="Late Start")),MAX(0,Tasks[[#This Row],[Finish Var]])+1-Tasks[[#This Row],[_Row]]/1000000,"")</f>
        <v/>
      </c>
      <c r="GF116" s="42" t="str">
        <f aca="false">IF(AND(Tasks[[#This Row],[_IsLeaf]]=1,N(Tasks[[#This Row],[Actual Start]])=0,Tasks[[#This Row],[_ShownFcstStart]]&gt;=StatusDate,Tasks[[#This Row],[_ShownFcstStart]]&lt;=LookaheadEnd),Tasks[[#This Row],[_ShownFcstStart]]+Tasks[[#This Row],[_Row]]/100000,"")</f>
        <v/>
      </c>
      <c r="GG116" s="42" t="str">
        <f aca="false">IF(AND(Tasks[[#This Row],[_IsLeaf]]=1,Tasks[[#This Row],[_LeafProgress]]&lt;1,Tasks[[#This Row],[_ShownFcstFinish]]&gt;=StatusDate,Tasks[[#This Row],[_ShownFcstFinish]]&lt;=LookaheadEnd),Tasks[[#This Row],[_ShownFcstFinish]]+Tasks[[#This Row],[_Row]]/100000,"")</f>
        <v/>
      </c>
      <c r="GH116" s="42" t="str">
        <f aca="false">IF(Tasks[[#This Row],[_LeafCritical]],Tasks[[#This Row],[_ShownFcstStart]]+Tasks[[#This Row],[_Row]]/100000,"")</f>
        <v/>
      </c>
      <c r="GI116" s="42" t="n">
        <f aca="false">Tasks[[#This Row],[_LeafWork]]*Tasks[[#This Row],[_LeafProgress]]</f>
        <v>0</v>
      </c>
      <c r="GJ116" s="89" t="str">
        <f aca="false">IF(AND(Tasks[[#This Row],[_IsLeaf]]=1,Tasks[[#This Row],[_LeafProgress]]&gt;=1),IF(N(Tasks[[#This Row],[Actual Finish]])&gt;0,Tasks[[#This Row],[Actual Finish]],Tasks[[#This Row],[_ShownFcstFinish]]),"")</f>
        <v/>
      </c>
      <c r="GK116" s="42" t="n">
        <f aca="false">IF(Tasks[[#This Row],[_IsLeaf]]=1,N(Tasks[[#This Row],[Story Points]]),0)</f>
        <v>0</v>
      </c>
      <c r="GL116" s="42" t="str">
        <f aca="false">""</f>
        <v/>
      </c>
      <c r="GM116" s="88" t="b">
        <f aca="false">IF(Tasks[[#This Row],[Task Name]]="",FALSE(),AND(Tasks[[#This Row],[_IsLeaf]]=1,N(Tasks[[#This Row],[_Days]])=0))</f>
        <v>0</v>
      </c>
      <c r="GN116" s="89" t="n">
        <f aca="false">IF(Tasks[[#This Row],[Task Name]]="",0,IF(AND(Tasks[[#This Row],[_IsLeaf]]=1,NOT(Tasks[[#This Row],[_IsMilestone]]),N(Tasks[[#This Row],[Progress]])&gt;0),Tasks[[#This Row],[Start]],0))</f>
        <v>0</v>
      </c>
      <c r="GO116" s="89" t="n">
        <f aca="false">IF(Tasks[[#This Row],[_DoneFrom]]=0,0,IF(Tasks[[#This Row],[Progress]]&gt;=1,Tasks[[#This Row],[Finish]],MAX(Tasks[[#This Row],[_DoneFrom]],Tasks[[#This Row],[Start]]+ROUND((Tasks[[#This Row],[Finish]]-Tasks[[#This Row],[Start]]+1)*Tasks[[#This Row],[Progress]],0)-1)))</f>
        <v>0</v>
      </c>
      <c r="GP116" s="89" t="n">
        <f aca="false">IF(Tasks[[#This Row],[Task Name]]="",0,IF(OR(NOT(Tasks[[#This Row],[_IsLeaf]]=1),Tasks[[#This Row],[_IsMilestone]],N(Tasks[[#This Row],[Progress]])&gt;=1),0,IF(Tasks[[#This Row],[_DoneTo]]&gt;0,Tasks[[#This Row],[_DoneTo]]+1,Tasks[[#This Row],[Start]])))</f>
        <v>0</v>
      </c>
      <c r="GQ116" s="89" t="n">
        <f aca="false">IF(Tasks[[#This Row],[_RemFrom]]=0,0,Tasks[[#This Row],[Finish]])</f>
        <v>0</v>
      </c>
      <c r="GR116" s="88" t="b">
        <f aca="false">IF(Tasks[[#This Row],[Task Name]]="",FALSE(),OR(NOT(BaselineSet),N(Tasks[[#This Row],[Baseline Start]])&gt;0))</f>
        <v>0</v>
      </c>
      <c r="GS11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6" s="90" t="str">
        <f aca="false">IF(Tasks[[#This Row],[_IsLeaf]]=1,Tasks[[#This Row],[_Row]],"")</f>
        <v/>
      </c>
      <c r="GW116" s="90" t="str">
        <f aca="false">IFERROR(INDEX(Tasks[UID],SMALL(Tasks[_PickKey],Tasks[[#This Row],[_Row]]))&amp;" "&amp;INDEX(Tasks[Task Name],SMALL(Tasks[_PickKey],Tasks[[#This Row],[_Row]])),"")</f>
        <v/>
      </c>
      <c r="GX116" s="42" t="str">
        <f aca="false">IF(Tasks[[#This Row],[Task Name]]="","",IF(Tasks[[#This Row],[_IsSummary]],NETWORKDAYS.INTL(Tasks[[#This Row],[Start]],Tasks[[#This Row],[Finish]],WorkWeek,Holidays),N(Tasks[[#This Row],[_Days]])))</f>
        <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3"/>
      <c r="U117" s="23"/>
      <c r="V117" s="83"/>
      <c r="W117" s="23"/>
      <c r="X117" s="83"/>
      <c r="Y117" s="23"/>
      <c r="Z117" s="83"/>
      <c r="AA117" s="23"/>
      <c r="AB117" s="23"/>
      <c r="AC117" s="7"/>
      <c r="AD117" s="7"/>
      <c r="AE117" s="62" t="str">
        <f aca="false">IF(Tasks[[#This Row],[Task Name]]="","",IF(Tasks[[#This Row],[_IsSummary]],MIN(INDEX(Tasks[_ShownFcstStart],Tasks[[#This Row],[_Row]]+1):INDEX(Tasks[_ShownFcstStart],Tasks[[#This Row],[_Row]]+Tasks[[#This Row],[_Descendants]])),Tasks[[#This Row],[_ShownFcstStart]]))</f>
        <v/>
      </c>
      <c r="AF117" s="62"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7" s="7"/>
      <c r="AK117" s="22"/>
      <c r="AL117" s="23"/>
      <c r="AM117" s="7"/>
      <c r="AN117" s="46"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2" t="str">
        <f aca="false">IF(Tasks[[#This Row],[Task Name]]="","",IF(N(Tasks[[#This Row],[Baseline Start]])&gt;0,Tasks[[#This Row],[Baseline Start]],Tasks[[#This Row],[_CalcStart]]))</f>
        <v/>
      </c>
      <c r="AR117" s="62" t="str">
        <f aca="false">IF(Tasks[[#This Row],[Task Name]]="","",IF(N(Tasks[[#This Row],[Baseline Finish]])&gt;0,Tasks[[#This Row],[Baseline Finish]],Tasks[[#This Row],[_CalcFinish]]))</f>
        <v/>
      </c>
      <c r="AS117" s="46" t="str">
        <f aca="false">IF(Tasks[[#This Row],[Task Name]]="","",IF(Tasks[[#This Row],[Start]]&gt;=Tasks[[#This Row],[Planned Start]],NETWORKDAYS.INTL(Tasks[[#This Row],[Planned Start]],Tasks[[#This Row],[Start]],WorkWeek,Holidays)-1,1-NETWORKDAYS.INTL(Tasks[[#This Row],[Start]],Tasks[[#This Row],[Planned Start]],WorkWeek,Holidays)))</f>
        <v/>
      </c>
      <c r="AT117" s="62" t="str">
        <f aca="false">IF(Tasks[[#This Row],[Task Name]]="","",IF(Tasks[[#This Row],[_IsSummary]],MIN(INDEX(Tasks[_LeafLateStart],Tasks[[#This Row],[_Row]]+1):INDEX(Tasks[_LeafLateStart],Tasks[[#This Row],[_Row]]+Tasks[[#This Row],[_Descendants]])),Tasks[[#This Row],[_LeafLateStart]]))</f>
        <v/>
      </c>
      <c r="AU117" s="62" t="str">
        <f aca="false">IF(Tasks[[#This Row],[Task Name]]="","",IF(Tasks[[#This Row],[_IsSummary]],MAX(INDEX(Tasks[_LeafLateFinish],Tasks[[#This Row],[_Row]]+1):INDEX(Tasks[_LeafLateFinish],Tasks[[#This Row],[_Row]]+Tasks[[#This Row],[_Descendants]])),Tasks[[#This Row],[_LeafLateFinish]]))</f>
        <v/>
      </c>
      <c r="AV117" s="46"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4"/>
      <c r="BA11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5"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6"/>
      <c r="BJ117" s="22"/>
      <c r="BK117" s="46" t="str">
        <f aca="false">IF(OR(Tasks[[#This Row],[Task Name]]="",Tasks[[#This Row],[Baseline Duration]]=""),"",Tasks[[#This Row],[_SpanDays]]-N(Tasks[[#This Row],[Baseline Duration]]))</f>
        <v/>
      </c>
      <c r="BL117" s="85" t="str">
        <f aca="false">IF(OR(Tasks[[#This Row],[Task Name]]="",Tasks[[#This Row],[Baseline Work]]=""),"",Tasks[[#This Row],[Work]]-N(Tasks[[#This Row],[Baseline Work]]))</f>
        <v/>
      </c>
      <c r="BM117" s="62" t="str">
        <f aca="false">IF(Tasks[[#This Row],[Task Name]]="","",IF(OR(TakeBaseline="Yes",N(Tasks[[#This Row],[Baseline Start]])=0),Tasks[[#This Row],[Start]],Tasks[[#This Row],[Baseline Start]]))</f>
        <v/>
      </c>
      <c r="BN117" s="62"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5" t="str">
        <f aca="false">IF(Tasks[[#This Row],[Task Name]]="","",IF(OR(TakeBaseline="Yes",N(Tasks[[#This Row],[Baseline Work]])=0),Tasks[[#This Row],[Work]],Tasks[[#This Row],[Baseline Work]]))</f>
        <v/>
      </c>
      <c r="BQ117" s="7"/>
      <c r="BR117" s="7"/>
      <c r="BS117" s="22"/>
      <c r="BT117" s="87"/>
      <c r="BU117" s="42" t="str">
        <f aca="false">IF(Tasks[[#This Row],[Task Name]]="","",MAX(1,N(Tasks[[#This Row],[Level]])))</f>
        <v/>
      </c>
      <c r="BV117" s="42" t="n">
        <f aca="false">ROW()-ROW(Tasks[[#Headers],[ID]])</f>
        <v>112</v>
      </c>
      <c r="BW117" s="42" t="n">
        <f aca="false">IF(OR(Tasks[[#This Row],[Task Name]]="",Tasks[[#This Row],[_Level]]&lt;=1),0,IFERROR(LOOKUP(2,1/(Tasks[[#Headers],[_Level]]:Tasks[[#This Row],[_Level]]=Tasks[[#This Row],[_Level]]-1),ROW(Tasks[[#Headers],[_Level]]:Tasks[[#This Row],[_Level]])),0))</f>
        <v>0</v>
      </c>
      <c r="BX117" s="42" t="n">
        <f aca="false">IFERROR(N(INDEX(Tasks[_Level],Tasks[[#This Row],[_Row]]+1)),0)</f>
        <v>0</v>
      </c>
      <c r="BY117" s="88" t="b">
        <f aca="false">AND(Tasks[[#This Row],[Task Name]]&lt;&gt;"",Tasks[[#This Row],[_NextLevel]]&gt;Tasks[[#This Row],[_Level]])</f>
        <v>0</v>
      </c>
      <c r="BZ117" s="42" t="n">
        <f aca="false">IF(Tasks[[#This Row],[_IsSummary]],COUNTIF(Tasks[WBS],Tasks[[#This Row],[WBS]]&amp;".*"),0)</f>
        <v>0</v>
      </c>
      <c r="CA117" s="42" t="n">
        <f aca="false">IF(AND(Tasks[[#This Row],[Task Name]]&lt;&gt;"",NOT(Tasks[[#This Row],[_IsSummary]])),1,0)</f>
        <v>0</v>
      </c>
      <c r="CB117" s="42" t="n">
        <f aca="false">IF(N(Tasks[[#This Row],[_Pred1UID]])=0,0,IFERROR(MATCH(Tasks[[#This Row],[_Pred1UID]],Tasks[UID],0),-1))</f>
        <v>0</v>
      </c>
      <c r="CC117" s="42" t="n">
        <f aca="false">IF(N(Tasks[[#This Row],[_Pred2UID]])=0,0,IFERROR(MATCH(Tasks[[#This Row],[_Pred2UID]],Tasks[UID],0),-1))</f>
        <v>0</v>
      </c>
      <c r="CD117" s="42" t="n">
        <f aca="false">IF(N(Tasks[[#This Row],[_Pred3UID]])=0,0,IFERROR(MATCH(Tasks[[#This Row],[_Pred3UID]],Tasks[UID],0),-1))</f>
        <v>0</v>
      </c>
      <c r="CE117" s="42" t="n">
        <f aca="false">IF(N(Tasks[[#This Row],[_Pred4UID]])=0,0,IFERROR(MATCH(Tasks[[#This Row],[_Pred4UID]],Tasks[UID],0),-1))</f>
        <v>0</v>
      </c>
      <c r="CF11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7" s="89" t="n">
        <f aca="false">IF(OR(Tasks[[#This Row],[_ConstraintCode]]=2,Tasks[[#This Row],[_ConstraintCode]]=3,Tasks[[#This Row],[_ConstraintCode]]=4,Tasks[[#This Row],[_ConstraintCode]]=6),Tasks[[#This Row],[_ConstraintStart]],0)</f>
        <v>0</v>
      </c>
      <c r="CI117" s="89" t="n">
        <f aca="false">IF(OR(Tasks[[#This Row],[_ConstraintCode]]=2,Tasks[[#This Row],[_ConstraintCode]]=3,Tasks[[#This Row],[_ConstraintCode]]=5,Tasks[[#This Row],[_ConstraintCode]]=7),Tasks[[#This Row],[_ConstraintStart]],2958465)</f>
        <v>2958465</v>
      </c>
      <c r="CJ11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7" s="89" t="str">
        <f aca="false">IF(NOT(Tasks[[#This Row],[_IsLeaf]]=1),"",IF(N(Tasks[[#This Row],[_Days]])&lt;=0,Tasks[[#This Row],[_LeafCalcStart]],WORKDAY.INTL(Tasks[[#This Row],[_LeafCalcStart]],Tasks[[#This Row],[_Days]]-1,WorkWeek,Holidays)))</f>
        <v/>
      </c>
      <c r="CL11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7" s="42" t="str">
        <f aca="false">IF(Tasks[[#This Row],[_Predecessors]]="","",TRIM(MID(SUBSTITUTE(SUBSTITUTE(SUBSTITUTE(UPPER(Tasks[[#This Row],[_Predecessors]]),";",",")," ",""),",",REPT(" ",99)),1,99)))</f>
        <v/>
      </c>
      <c r="CO117" s="42" t="str">
        <f aca="false">IF(Tasks[[#This Row],[_Pred1Text]]="","",IFERROR(VALUE(LEFT(Tasks[[#This Row],[_Pred1Text]],MIN(FIND("F",Tasks[[#This Row],[_Pred1Text]]&amp;"F"),FIND("S",Tasks[[#This Row],[_Pred1Text]]&amp;"S"),FIND("+",Tasks[[#This Row],[_Pred1Text]]&amp;"+"),FIND("-",Tasks[[#This Row],[_Pred1Text]]&amp;"-"))-1)),""))</f>
        <v/>
      </c>
      <c r="CP1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7" s="42" t="str">
        <f aca="false">IF(Tasks[[#This Row],[_Pred1Text]]="","",TRIM(MID(SUBSTITUTE(SUBSTITUTE(SUBSTITUTE(UPPER(Tasks[[#This Row],[_Predecessors]]),";",",")," ",""),",",REPT(" ",99)),100,99)))</f>
        <v/>
      </c>
      <c r="CS117" s="42" t="str">
        <f aca="false">IF(Tasks[[#This Row],[_Pred2Text]]="","",IFERROR(VALUE(LEFT(Tasks[[#This Row],[_Pred2Text]],MIN(FIND("F",Tasks[[#This Row],[_Pred2Text]]&amp;"F"),FIND("S",Tasks[[#This Row],[_Pred2Text]]&amp;"S"),FIND("+",Tasks[[#This Row],[_Pred2Text]]&amp;"+"),FIND("-",Tasks[[#This Row],[_Pred2Text]]&amp;"-"))-1)),""))</f>
        <v/>
      </c>
      <c r="CT1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7" s="42" t="str">
        <f aca="false">IF(Tasks[[#This Row],[_Pred2Text]]="","",TRIM(MID(SUBSTITUTE(SUBSTITUTE(SUBSTITUTE(UPPER(Tasks[[#This Row],[_Predecessors]]),";",",")," ",""),",",REPT(" ",99)),199,99)))</f>
        <v/>
      </c>
      <c r="CW117" s="42" t="str">
        <f aca="false">IF(Tasks[[#This Row],[_Pred3Text]]="","",IFERROR(VALUE(LEFT(Tasks[[#This Row],[_Pred3Text]],MIN(FIND("F",Tasks[[#This Row],[_Pred3Text]]&amp;"F"),FIND("S",Tasks[[#This Row],[_Pred3Text]]&amp;"S"),FIND("+",Tasks[[#This Row],[_Pred3Text]]&amp;"+"),FIND("-",Tasks[[#This Row],[_Pred3Text]]&amp;"-"))-1)),""))</f>
        <v/>
      </c>
      <c r="CX1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7" s="42" t="str">
        <f aca="false">IF(Tasks[[#This Row],[_Pred3Text]]="","",TRIM(MID(SUBSTITUTE(SUBSTITUTE(SUBSTITUTE(UPPER(Tasks[[#This Row],[_Predecessors]]),";",",")," ",""),",",REPT(" ",99)),298,99)))</f>
        <v/>
      </c>
      <c r="DA117" s="42" t="str">
        <f aca="false">IF(Tasks[[#This Row],[_Pred4Text]]="","",IFERROR(VALUE(LEFT(Tasks[[#This Row],[_Pred4Text]],MIN(FIND("F",Tasks[[#This Row],[_Pred4Text]]&amp;"F"),FIND("S",Tasks[[#This Row],[_Pred4Text]]&amp;"S"),FIND("+",Tasks[[#This Row],[_Pred4Text]]&amp;"+"),FIND("-",Tasks[[#This Row],[_Pred4Text]]&amp;"-"))-1)),""))</f>
        <v/>
      </c>
      <c r="DB1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7" s="42" t="str">
        <f aca="false">IF(OR(Tasks[[#This Row],[Task Name]]="",Tasks[[#This Row],[_Resources]]=""),"",TRIM(MID(SUBSTITUTE(Tasks[[#This Row],[_Resources]],",",REPT(" ",99)),1,99)))</f>
        <v/>
      </c>
      <c r="DE117" s="42" t="str">
        <f aca="false">IF(Tasks[[#This Row],[_Res1Text]]="","",TRIM(MID(SUBSTITUTE(Tasks[[#This Row],[_Resources]],",",REPT(" ",99)),100,99)))</f>
        <v/>
      </c>
      <c r="DF117" s="42" t="str">
        <f aca="false">IF(Tasks[[#This Row],[_Res2Text]]="","",TRIM(MID(SUBSTITUTE(Tasks[[#This Row],[_Resources]],",",REPT(" ",99)),199,99)))</f>
        <v/>
      </c>
      <c r="DG117" s="42" t="str">
        <f aca="false">IF(Tasks[[#This Row],[_Res3Text]]="","",TRIM(MID(SUBSTITUTE(Tasks[[#This Row],[_Resources]],",",REPT(" ",99)),298,99)))</f>
        <v/>
      </c>
      <c r="DH117" s="42" t="n">
        <f aca="false">IF(Tasks[[#This Row],[_Res1Text]]="",0,IFERROR(MATCH(TRIM(LEFT(Tasks[[#This Row],[_Res1Text]],FIND("[",Tasks[[#This Row],[_Res1Text]]&amp;"[")-1)),res_Name,0),IFERROR(MATCH(TRIM(LEFT(Tasks[[#This Row],[_Res1Text]],FIND("[",Tasks[[#This Row],[_Res1Text]]&amp;"[")-1)),res_Initials,0),0)))</f>
        <v>0</v>
      </c>
      <c r="DI117" s="42" t="n">
        <f aca="false">IF(Tasks[[#This Row],[_Res2Text]]="",0,IFERROR(MATCH(TRIM(LEFT(Tasks[[#This Row],[_Res2Text]],FIND("[",Tasks[[#This Row],[_Res2Text]]&amp;"[")-1)),res_Name,0),IFERROR(MATCH(TRIM(LEFT(Tasks[[#This Row],[_Res2Text]],FIND("[",Tasks[[#This Row],[_Res2Text]]&amp;"[")-1)),res_Initials,0),0)))</f>
        <v>0</v>
      </c>
      <c r="DJ117" s="42" t="n">
        <f aca="false">IF(Tasks[[#This Row],[_Res3Text]]="",0,IFERROR(MATCH(TRIM(LEFT(Tasks[[#This Row],[_Res3Text]],FIND("[",Tasks[[#This Row],[_Res3Text]]&amp;"[")-1)),res_Name,0),IFERROR(MATCH(TRIM(LEFT(Tasks[[#This Row],[_Res3Text]],FIND("[",Tasks[[#This Row],[_Res3Text]]&amp;"[")-1)),res_Initials,0),0)))</f>
        <v>0</v>
      </c>
      <c r="DK117" s="42" t="n">
        <f aca="false">IF(Tasks[[#This Row],[_Res4Text]]="",0,IFERROR(MATCH(TRIM(LEFT(Tasks[[#This Row],[_Res4Text]],FIND("[",Tasks[[#This Row],[_Res4Text]]&amp;"[")-1)),res_Name,0),IFERROR(MATCH(TRIM(LEFT(Tasks[[#This Row],[_Res4Text]],FIND("[",Tasks[[#This Row],[_Res4Text]]&amp;"[")-1)),res_Initials,0),0)))</f>
        <v>0</v>
      </c>
      <c r="DL117" s="42" t="str">
        <f aca="false">IF(Tasks[[#This Row],[_Res1Text]]="","",IF(Tasks[[#This Row],[_Res1Row]]&gt;0,INDEX(res_Name,Tasks[[#This Row],[_Res1Row]]),TRIM(LEFT(Tasks[[#This Row],[_Res1Text]],FIND("[",Tasks[[#This Row],[_Res1Text]]&amp;"[")-1))))</f>
        <v/>
      </c>
      <c r="DM1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7" s="42" t="n">
        <f aca="false">IF(NOT(Tasks[[#This Row],[_IsLeaf]]=1),0,(Tasks[[#This Row],[_Resource1]]&lt;&gt;"")+(Tasks[[#This Row],[_Res2]]&lt;&gt;"")+(Tasks[[#This Row],[_Res3]]&lt;&gt;"")+(Tasks[[#This Row],[_Res4]]&lt;&gt;""))</f>
        <v>0</v>
      </c>
      <c r="DO117" s="42" t="str">
        <f aca="false">IF(Tasks[[#This Row],[_Res2Text]]="","",IF(Tasks[[#This Row],[_Res2Row]]&gt;0,INDEX(res_Name,Tasks[[#This Row],[_Res2Row]]),TRIM(LEFT(Tasks[[#This Row],[_Res2Text]],FIND("[",Tasks[[#This Row],[_Res2Text]]&amp;"[")-1))))</f>
        <v/>
      </c>
      <c r="DP1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7" s="42" t="n">
        <f aca="false">IF(OR(NOT(Tasks[[#This Row],[_IsLeaf]]=1),Tasks[[#This Row],[_Res2Row]]=0),0,N(Tasks[[#This Row],[_Days]])*HoursPerDay*IF(Tasks[[#This Row],[_Res2Units]]="",DefaultUnits,Tasks[[#This Row],[_Res2Units]]))</f>
        <v>0</v>
      </c>
      <c r="DR117" s="42" t="n">
        <f aca="false">IF(AND(AND(Tasks[[#This Row],[_IsLeaf]]=1,Tasks[[#This Row],[_LeafTotalWork]]&gt;0),Tasks[[#This Row],[_Res2Work]]&gt;0),Tasks[[#This Row],[_Res2Work]]/(Tasks[[#This Row],[_FinishWorkday]]-Tasks[[#This Row],[_StartWorkday]]+1),0)</f>
        <v>0</v>
      </c>
      <c r="DS117" s="42" t="n">
        <f aca="false">Tasks[[#This Row],[_Res2WorkPerWD]]*MAX(0,Tasks[[#This Row],[_StartWorkday]]-1)</f>
        <v>0</v>
      </c>
      <c r="DT117" s="42" t="n">
        <f aca="false">Tasks[[#This Row],[_Res2Work]]*Tasks[[#This Row],[_LeafProgress]]</f>
        <v>0</v>
      </c>
      <c r="DU117" s="42" t="str">
        <f aca="false">IF(Tasks[[#This Row],[_Res3Text]]="","",IF(Tasks[[#This Row],[_Res3Row]]&gt;0,INDEX(res_Name,Tasks[[#This Row],[_Res3Row]]),TRIM(LEFT(Tasks[[#This Row],[_Res3Text]],FIND("[",Tasks[[#This Row],[_Res3Text]]&amp;"[")-1))))</f>
        <v/>
      </c>
      <c r="DV1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7" s="42" t="n">
        <f aca="false">IF(OR(NOT(Tasks[[#This Row],[_IsLeaf]]=1),Tasks[[#This Row],[_Res3Row]]=0),0,N(Tasks[[#This Row],[_Days]])*HoursPerDay*IF(Tasks[[#This Row],[_Res3Units]]="",DefaultUnits,Tasks[[#This Row],[_Res3Units]]))</f>
        <v>0</v>
      </c>
      <c r="DX117" s="42" t="n">
        <f aca="false">IF(AND(AND(Tasks[[#This Row],[_IsLeaf]]=1,Tasks[[#This Row],[_LeafTotalWork]]&gt;0),Tasks[[#This Row],[_Res3Work]]&gt;0),Tasks[[#This Row],[_Res3Work]]/(Tasks[[#This Row],[_FinishWorkday]]-Tasks[[#This Row],[_StartWorkday]]+1),0)</f>
        <v>0</v>
      </c>
      <c r="DY117" s="42" t="n">
        <f aca="false">Tasks[[#This Row],[_Res3WorkPerWD]]*MAX(0,Tasks[[#This Row],[_StartWorkday]]-1)</f>
        <v>0</v>
      </c>
      <c r="DZ117" s="42" t="n">
        <f aca="false">Tasks[[#This Row],[_Res3Work]]*Tasks[[#This Row],[_LeafProgress]]</f>
        <v>0</v>
      </c>
      <c r="EA117" s="42" t="str">
        <f aca="false">IF(Tasks[[#This Row],[_Res4Text]]="","",IF(Tasks[[#This Row],[_Res4Row]]&gt;0,INDEX(res_Name,Tasks[[#This Row],[_Res4Row]]),TRIM(LEFT(Tasks[[#This Row],[_Res4Text]],FIND("[",Tasks[[#This Row],[_Res4Text]]&amp;"[")-1))))</f>
        <v/>
      </c>
      <c r="EB1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7" s="42" t="n">
        <f aca="false">IF(OR(NOT(Tasks[[#This Row],[_IsLeaf]]=1),Tasks[[#This Row],[_Res4Row]]=0),0,N(Tasks[[#This Row],[_Days]])*HoursPerDay*IF(Tasks[[#This Row],[_Res4Units]]="",DefaultUnits,Tasks[[#This Row],[_Res4Units]]))</f>
        <v>0</v>
      </c>
      <c r="ED117" s="42" t="n">
        <f aca="false">IF(AND(AND(Tasks[[#This Row],[_IsLeaf]]=1,Tasks[[#This Row],[_LeafTotalWork]]&gt;0),Tasks[[#This Row],[_Res4Work]]&gt;0),Tasks[[#This Row],[_Res4Work]]/(Tasks[[#This Row],[_FinishWorkday]]-Tasks[[#This Row],[_StartWorkday]]+1),0)</f>
        <v>0</v>
      </c>
      <c r="EE117" s="42" t="n">
        <f aca="false">Tasks[[#This Row],[_Res4WorkPerWD]]*MAX(0,Tasks[[#This Row],[_StartWorkday]]-1)</f>
        <v>0</v>
      </c>
      <c r="EF117" s="42" t="n">
        <f aca="false">Tasks[[#This Row],[_Res4Work]]*Tasks[[#This Row],[_LeafProgress]]</f>
        <v>0</v>
      </c>
      <c r="EG117" s="42" t="n">
        <f aca="false">IF(ISNUMBER(Tasks[[#This Row],[% Complete]]),Tasks[[#This Row],[% Complete]],IF(Tasks[[#This Row],[Stage]]="",0,IFERROR(INDEX(stg_Pct,MATCH(Tasks[[#This Row],[Stage]],stg_Name,0)),0)))</f>
        <v>0</v>
      </c>
      <c r="EH117" s="42" t="n">
        <f aca="false">IF(NOT(Tasks[[#This Row],[_IsLeaf]]=1),0,IF(N(Tasks[[#This Row],[Actual Finish]])&gt;0,1,MIN(1,Tasks[[#This Row],[_Pct]])))</f>
        <v>0</v>
      </c>
      <c r="EI117" s="42" t="n">
        <f aca="false">IF(OR(NOT(Tasks[[#This Row],[_IsLeaf]]=1),Tasks[[#This Row],[_Res1Row]]=0),0,N(Tasks[[#This Row],[_Days]])*HoursPerDay*IF(Tasks[[#This Row],[_Units1]]="",DefaultUnits,Tasks[[#This Row],[_Units1]]))</f>
        <v>0</v>
      </c>
      <c r="EJ117" s="42" t="n">
        <f aca="false">Tasks[[#This Row],[_LeafWork]]+Tasks[[#This Row],[_Res2Work]]+Tasks[[#This Row],[_Res3Work]]+Tasks[[#This Row],[_Res4Work]]</f>
        <v>0</v>
      </c>
      <c r="EK11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7" s="42" t="n">
        <f aca="false">IF(NOT(Tasks[[#This Row],[_IsLeaf]]=1),0,MAX(_xlfn.MAXIFS(Tasks[_Row],Tasks[_Pred1UID],Tasks[[#This Row],[UID]]),_xlfn.MAXIFS(Tasks[_Row],Tasks[_Pred2UID],Tasks[[#This Row],[UID]]),_xlfn.MAXIFS(Tasks[_Row],Tasks[_Pred3UID],Tasks[[#This Row],[UID]]),_xlfn.MAXIFS(Tasks[_Row],Tasks[_Pred4UID],Tasks[[#This Row],[UID]])))</f>
        <v>0</v>
      </c>
      <c r="ET11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7" s="89" t="str">
        <f aca="false">IF(NOT(Tasks[[#This Row],[_IsLeaf]]=1),"",IF(N(Tasks[[#This Row],[_Days]])&lt;=0,Tasks[[#This Row],[_LeafLateFinish]],WORKDAY.INTL(Tasks[[#This Row],[_LeafLateFinish]],-(Tasks[[#This Row],[_Days]]-1),WorkWeek,Holidays)))</f>
        <v/>
      </c>
      <c r="EW11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7" s="88" t="b">
        <f aca="false">AND(Tasks[[#This Row],[_IsLeaf]]=1,Tasks[[#This Row],[_LeafProgress]]&lt;1,N(Tasks[[#This Row],[_LeafTotalSlack]])&lt;=CriticalSlackDays)</f>
        <v>0</v>
      </c>
      <c r="EY117" s="42" t="n">
        <f aca="false">IF(AND(Tasks[[#This Row],[_IsLeaf]]=1,Tasks[[#This Row],[_ConstraintCode]]=1,Tasks[[#This Row],[Mode]]&lt;&gt;"Manual",N(Tasks[[#This Row],[Actual Start]])=0),MAX(0,N(Tasks[[#This Row],[Free Slack]])),0)</f>
        <v>0</v>
      </c>
      <c r="EZ117" s="89" t="str">
        <f aca="false">IF(NOT(Tasks[[#This Row],[_IsLeaf]]=1),"",IF(Tasks[[#This Row],[_AlapShift]]=0,Tasks[[#This Row],[_LeafCalcStart]],WORKDAY.INTL(Tasks[[#This Row],[_LeafCalcStart]],Tasks[[#This Row],[_AlapShift]],WorkWeek,Holidays)))</f>
        <v/>
      </c>
      <c r="FA117" s="89" t="str">
        <f aca="false">IF(NOT(Tasks[[#This Row],[_IsLeaf]]=1),"",IF(Tasks[[#This Row],[_AlapShift]]=0,Tasks[[#This Row],[_LeafCalcFinish]],WORKDAY.INTL(Tasks[[#This Row],[_LeafCalcFinish]],Tasks[[#This Row],[_AlapShift]],WorkWeek,Holidays)))</f>
        <v/>
      </c>
      <c r="FB117" s="89" t="str">
        <f aca="false">IF(NOT(Tasks[[#This Row],[_IsLeaf]]=1),"",IF(Tasks[[#This Row],[_AlapShift]]=0,Tasks[[#This Row],[_LeafFcstStart]],WORKDAY.INTL(Tasks[[#This Row],[_LeafFcstStart]],Tasks[[#This Row],[_AlapShift]],WorkWeek,Holidays)))</f>
        <v/>
      </c>
      <c r="FC117" s="89" t="str">
        <f aca="false">IF(NOT(Tasks[[#This Row],[_IsLeaf]]=1),"",IF(Tasks[[#This Row],[_AlapShift]]=0,Tasks[[#This Row],[_LeafFcstFinish]],WORKDAY.INTL(Tasks[[#This Row],[_LeafFcstFinish]],Tasks[[#This Row],[_AlapShift]],WorkWeek,Holidays)))</f>
        <v/>
      </c>
      <c r="FD117" s="89" t="str">
        <f aca="false">IF(Tasks[[#This Row],[Task Name]]="","",IF(Tasks[[#This Row],[_IsSummary]],MIN(INDEX(Tasks[_ShownCalcStart],Tasks[[#This Row],[_Row]]+1):INDEX(Tasks[_ShownCalcStart],Tasks[[#This Row],[_Row]]+Tasks[[#This Row],[_Descendants]])),Tasks[[#This Row],[_ShownCalcStart]]))</f>
        <v/>
      </c>
      <c r="FE117" s="89" t="str">
        <f aca="false">IF(Tasks[[#This Row],[Task Name]]="","",IF(Tasks[[#This Row],[_IsSummary]],MAX(INDEX(Tasks[_ShownCalcFinish],Tasks[[#This Row],[_Row]]+1):INDEX(Tasks[_ShownCalcFinish],Tasks[[#This Row],[_Row]]+Tasks[[#This Row],[_Descendants]])),Tasks[[#This Row],[_ShownCalcFinish]]))</f>
        <v/>
      </c>
      <c r="FF1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7" s="42" t="n">
        <f aca="false">IF(AND(Tasks[[#This Row],[_IsLeaf]]=1,Tasks[[#This Row],[_LeafTotalWork]]&gt;0),NETWORKDAYS.INTL(ProjectStart,Tasks[[#This Row],[_ShownFcstStart]],WorkWeek,Holidays),0)</f>
        <v>0</v>
      </c>
      <c r="FS117" s="42" t="n">
        <f aca="false">IF(AND(Tasks[[#This Row],[_IsLeaf]]=1,Tasks[[#This Row],[_LeafTotalWork]]&gt;0),MAX(Tasks[[#This Row],[_StartWorkday]],NETWORKDAYS.INTL(ProjectStart,Tasks[[#This Row],[_ShownFcstFinish]],WorkWeek,Holidays)),0)</f>
        <v>0</v>
      </c>
      <c r="FT117" s="42" t="n">
        <f aca="false">IF(AND(Tasks[[#This Row],[_IsLeaf]]=1,Tasks[[#This Row],[_LeafTotalWork]]&gt;0),Tasks[[#This Row],[_LeafWork]]/(Tasks[[#This Row],[_FinishWorkday]]-Tasks[[#This Row],[_StartWorkday]]+1),0)</f>
        <v>0</v>
      </c>
      <c r="FU117" s="42" t="n">
        <f aca="false">Tasks[[#This Row],[_WorkPerWorkday]]*(Tasks[[#This Row],[_StartWorkday]]-1)</f>
        <v>-0</v>
      </c>
      <c r="FV117" s="42" t="n">
        <f aca="false">IF(Tasks[[#This Row],[_IsLeaf]]=1,MAX(N(Tasks[[#This Row],[_Days]]),0.1),0)</f>
        <v>0</v>
      </c>
      <c r="FW117" s="42" t="n">
        <f aca="false">Tasks[[#This Row],[_WeightDur]]*Tasks[[#This Row],[_LeafProgress]]</f>
        <v>0</v>
      </c>
      <c r="FX117" s="42" t="n">
        <f aca="false">Tasks[[#This Row],[_WeightDur]]*Tasks[[#This Row],[_PlannedPct]]</f>
        <v>0</v>
      </c>
      <c r="FY1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7" s="42" t="str">
        <f aca="false">IF(AND(Tasks[[#This Row],[_IsLeaf]]=1,N(Tasks[[#This Row],[_Days]])=0,Tasks[[#This Row],[_LeafProgress]]&lt;1),Tasks[[#This Row],[_ShownFcstFinish]]+Tasks[[#This Row],[_Row]]/100000,"")</f>
        <v/>
      </c>
      <c r="GA1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7" s="42" t="str">
        <f aca="false">IF(Tasks[[#This Row],[Task Name]]="","",LEFT(Tasks[[#This Row],[WBS]],FIND(".",Tasks[[#This Row],[WBS]]&amp;".")-1))</f>
        <v/>
      </c>
      <c r="GC117" s="42" t="str">
        <f aca="false">IF(AND(Tasks[[#This Row],[Task Name]]&lt;&gt;"",Tasks[[#This Row],[_Level]]=1),Tasks[[#This Row],[_Row]],"")</f>
        <v/>
      </c>
      <c r="GD117" s="42" t="str">
        <f aca="false">IF(AND(Tasks[[#This Row],[_IsLeaf]]=1,N(Tasks[[#This Row],[_Days]])=0),Tasks[[#This Row],[Planned Finish]]+Tasks[[#This Row],[_Row]]/100000,"")</f>
        <v/>
      </c>
      <c r="GE117" s="42" t="str">
        <f aca="false">IF(AND(Tasks[[#This Row],[_IsLeaf]]=1,Tasks[[#This Row],[_LeafProgress]]&lt;1,OR(N(Tasks[[#This Row],[Finish Var]])&gt;0,Tasks[[#This Row],[Status]]="Late Start")),MAX(0,Tasks[[#This Row],[Finish Var]])+1-Tasks[[#This Row],[_Row]]/1000000,"")</f>
        <v/>
      </c>
      <c r="GF117" s="42" t="str">
        <f aca="false">IF(AND(Tasks[[#This Row],[_IsLeaf]]=1,N(Tasks[[#This Row],[Actual Start]])=0,Tasks[[#This Row],[_ShownFcstStart]]&gt;=StatusDate,Tasks[[#This Row],[_ShownFcstStart]]&lt;=LookaheadEnd),Tasks[[#This Row],[_ShownFcstStart]]+Tasks[[#This Row],[_Row]]/100000,"")</f>
        <v/>
      </c>
      <c r="GG117" s="42" t="str">
        <f aca="false">IF(AND(Tasks[[#This Row],[_IsLeaf]]=1,Tasks[[#This Row],[_LeafProgress]]&lt;1,Tasks[[#This Row],[_ShownFcstFinish]]&gt;=StatusDate,Tasks[[#This Row],[_ShownFcstFinish]]&lt;=LookaheadEnd),Tasks[[#This Row],[_ShownFcstFinish]]+Tasks[[#This Row],[_Row]]/100000,"")</f>
        <v/>
      </c>
      <c r="GH117" s="42" t="str">
        <f aca="false">IF(Tasks[[#This Row],[_LeafCritical]],Tasks[[#This Row],[_ShownFcstStart]]+Tasks[[#This Row],[_Row]]/100000,"")</f>
        <v/>
      </c>
      <c r="GI117" s="42" t="n">
        <f aca="false">Tasks[[#This Row],[_LeafWork]]*Tasks[[#This Row],[_LeafProgress]]</f>
        <v>0</v>
      </c>
      <c r="GJ117" s="89" t="str">
        <f aca="false">IF(AND(Tasks[[#This Row],[_IsLeaf]]=1,Tasks[[#This Row],[_LeafProgress]]&gt;=1),IF(N(Tasks[[#This Row],[Actual Finish]])&gt;0,Tasks[[#This Row],[Actual Finish]],Tasks[[#This Row],[_ShownFcstFinish]]),"")</f>
        <v/>
      </c>
      <c r="GK117" s="42" t="n">
        <f aca="false">IF(Tasks[[#This Row],[_IsLeaf]]=1,N(Tasks[[#This Row],[Story Points]]),0)</f>
        <v>0</v>
      </c>
      <c r="GL117" s="42" t="str">
        <f aca="false">""</f>
        <v/>
      </c>
      <c r="GM117" s="88" t="b">
        <f aca="false">IF(Tasks[[#This Row],[Task Name]]="",FALSE(),AND(Tasks[[#This Row],[_IsLeaf]]=1,N(Tasks[[#This Row],[_Days]])=0))</f>
        <v>0</v>
      </c>
      <c r="GN117" s="89" t="n">
        <f aca="false">IF(Tasks[[#This Row],[Task Name]]="",0,IF(AND(Tasks[[#This Row],[_IsLeaf]]=1,NOT(Tasks[[#This Row],[_IsMilestone]]),N(Tasks[[#This Row],[Progress]])&gt;0),Tasks[[#This Row],[Start]],0))</f>
        <v>0</v>
      </c>
      <c r="GO117" s="89" t="n">
        <f aca="false">IF(Tasks[[#This Row],[_DoneFrom]]=0,0,IF(Tasks[[#This Row],[Progress]]&gt;=1,Tasks[[#This Row],[Finish]],MAX(Tasks[[#This Row],[_DoneFrom]],Tasks[[#This Row],[Start]]+ROUND((Tasks[[#This Row],[Finish]]-Tasks[[#This Row],[Start]]+1)*Tasks[[#This Row],[Progress]],0)-1)))</f>
        <v>0</v>
      </c>
      <c r="GP117" s="89" t="n">
        <f aca="false">IF(Tasks[[#This Row],[Task Name]]="",0,IF(OR(NOT(Tasks[[#This Row],[_IsLeaf]]=1),Tasks[[#This Row],[_IsMilestone]],N(Tasks[[#This Row],[Progress]])&gt;=1),0,IF(Tasks[[#This Row],[_DoneTo]]&gt;0,Tasks[[#This Row],[_DoneTo]]+1,Tasks[[#This Row],[Start]])))</f>
        <v>0</v>
      </c>
      <c r="GQ117" s="89" t="n">
        <f aca="false">IF(Tasks[[#This Row],[_RemFrom]]=0,0,Tasks[[#This Row],[Finish]])</f>
        <v>0</v>
      </c>
      <c r="GR117" s="88" t="b">
        <f aca="false">IF(Tasks[[#This Row],[Task Name]]="",FALSE(),OR(NOT(BaselineSet),N(Tasks[[#This Row],[Baseline Start]])&gt;0))</f>
        <v>0</v>
      </c>
      <c r="GS11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7" s="90" t="str">
        <f aca="false">IF(Tasks[[#This Row],[_IsLeaf]]=1,Tasks[[#This Row],[_Row]],"")</f>
        <v/>
      </c>
      <c r="GW117" s="90" t="str">
        <f aca="false">IFERROR(INDEX(Tasks[UID],SMALL(Tasks[_PickKey],Tasks[[#This Row],[_Row]]))&amp;" "&amp;INDEX(Tasks[Task Name],SMALL(Tasks[_PickKey],Tasks[[#This Row],[_Row]])),"")</f>
        <v/>
      </c>
      <c r="GX117" s="42" t="str">
        <f aca="false">IF(Tasks[[#This Row],[Task Name]]="","",IF(Tasks[[#This Row],[_IsSummary]],NETWORKDAYS.INTL(Tasks[[#This Row],[Start]],Tasks[[#This Row],[Finish]],WorkWeek,Holidays),N(Tasks[[#This Row],[_Days]])))</f>
        <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3"/>
      <c r="U118" s="23"/>
      <c r="V118" s="83"/>
      <c r="W118" s="23"/>
      <c r="X118" s="83"/>
      <c r="Y118" s="23"/>
      <c r="Z118" s="83"/>
      <c r="AA118" s="23"/>
      <c r="AB118" s="23"/>
      <c r="AC118" s="7"/>
      <c r="AD118" s="7"/>
      <c r="AE118" s="62" t="str">
        <f aca="false">IF(Tasks[[#This Row],[Task Name]]="","",IF(Tasks[[#This Row],[_IsSummary]],MIN(INDEX(Tasks[_ShownFcstStart],Tasks[[#This Row],[_Row]]+1):INDEX(Tasks[_ShownFcstStart],Tasks[[#This Row],[_Row]]+Tasks[[#This Row],[_Descendants]])),Tasks[[#This Row],[_ShownFcstStart]]))</f>
        <v/>
      </c>
      <c r="AF118" s="62"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8" s="7"/>
      <c r="AK118" s="22"/>
      <c r="AL118" s="23"/>
      <c r="AM118" s="7"/>
      <c r="AN118" s="46"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2" t="str">
        <f aca="false">IF(Tasks[[#This Row],[Task Name]]="","",IF(N(Tasks[[#This Row],[Baseline Start]])&gt;0,Tasks[[#This Row],[Baseline Start]],Tasks[[#This Row],[_CalcStart]]))</f>
        <v/>
      </c>
      <c r="AR118" s="62" t="str">
        <f aca="false">IF(Tasks[[#This Row],[Task Name]]="","",IF(N(Tasks[[#This Row],[Baseline Finish]])&gt;0,Tasks[[#This Row],[Baseline Finish]],Tasks[[#This Row],[_CalcFinish]]))</f>
        <v/>
      </c>
      <c r="AS118" s="46" t="str">
        <f aca="false">IF(Tasks[[#This Row],[Task Name]]="","",IF(Tasks[[#This Row],[Start]]&gt;=Tasks[[#This Row],[Planned Start]],NETWORKDAYS.INTL(Tasks[[#This Row],[Planned Start]],Tasks[[#This Row],[Start]],WorkWeek,Holidays)-1,1-NETWORKDAYS.INTL(Tasks[[#This Row],[Start]],Tasks[[#This Row],[Planned Start]],WorkWeek,Holidays)))</f>
        <v/>
      </c>
      <c r="AT118" s="62" t="str">
        <f aca="false">IF(Tasks[[#This Row],[Task Name]]="","",IF(Tasks[[#This Row],[_IsSummary]],MIN(INDEX(Tasks[_LeafLateStart],Tasks[[#This Row],[_Row]]+1):INDEX(Tasks[_LeafLateStart],Tasks[[#This Row],[_Row]]+Tasks[[#This Row],[_Descendants]])),Tasks[[#This Row],[_LeafLateStart]]))</f>
        <v/>
      </c>
      <c r="AU118" s="62" t="str">
        <f aca="false">IF(Tasks[[#This Row],[Task Name]]="","",IF(Tasks[[#This Row],[_IsSummary]],MAX(INDEX(Tasks[_LeafLateFinish],Tasks[[#This Row],[_Row]]+1):INDEX(Tasks[_LeafLateFinish],Tasks[[#This Row],[_Row]]+Tasks[[#This Row],[_Descendants]])),Tasks[[#This Row],[_LeafLateFinish]]))</f>
        <v/>
      </c>
      <c r="AV118" s="46"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4"/>
      <c r="BA1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5"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6"/>
      <c r="BJ118" s="22"/>
      <c r="BK118" s="46" t="str">
        <f aca="false">IF(OR(Tasks[[#This Row],[Task Name]]="",Tasks[[#This Row],[Baseline Duration]]=""),"",Tasks[[#This Row],[_SpanDays]]-N(Tasks[[#This Row],[Baseline Duration]]))</f>
        <v/>
      </c>
      <c r="BL118" s="85" t="str">
        <f aca="false">IF(OR(Tasks[[#This Row],[Task Name]]="",Tasks[[#This Row],[Baseline Work]]=""),"",Tasks[[#This Row],[Work]]-N(Tasks[[#This Row],[Baseline Work]]))</f>
        <v/>
      </c>
      <c r="BM118" s="62" t="str">
        <f aca="false">IF(Tasks[[#This Row],[Task Name]]="","",IF(OR(TakeBaseline="Yes",N(Tasks[[#This Row],[Baseline Start]])=0),Tasks[[#This Row],[Start]],Tasks[[#This Row],[Baseline Start]]))</f>
        <v/>
      </c>
      <c r="BN118" s="62"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5" t="str">
        <f aca="false">IF(Tasks[[#This Row],[Task Name]]="","",IF(OR(TakeBaseline="Yes",N(Tasks[[#This Row],[Baseline Work]])=0),Tasks[[#This Row],[Work]],Tasks[[#This Row],[Baseline Work]]))</f>
        <v/>
      </c>
      <c r="BQ118" s="7"/>
      <c r="BR118" s="7"/>
      <c r="BS118" s="22"/>
      <c r="BT118" s="87"/>
      <c r="BU118" s="42" t="str">
        <f aca="false">IF(Tasks[[#This Row],[Task Name]]="","",MAX(1,N(Tasks[[#This Row],[Level]])))</f>
        <v/>
      </c>
      <c r="BV118" s="42" t="n">
        <f aca="false">ROW()-ROW(Tasks[[#Headers],[ID]])</f>
        <v>113</v>
      </c>
      <c r="BW118" s="42" t="n">
        <f aca="false">IF(OR(Tasks[[#This Row],[Task Name]]="",Tasks[[#This Row],[_Level]]&lt;=1),0,IFERROR(LOOKUP(2,1/(Tasks[[#Headers],[_Level]]:Tasks[[#This Row],[_Level]]=Tasks[[#This Row],[_Level]]-1),ROW(Tasks[[#Headers],[_Level]]:Tasks[[#This Row],[_Level]])),0))</f>
        <v>0</v>
      </c>
      <c r="BX118" s="42" t="n">
        <f aca="false">IFERROR(N(INDEX(Tasks[_Level],Tasks[[#This Row],[_Row]]+1)),0)</f>
        <v>0</v>
      </c>
      <c r="BY118" s="88" t="b">
        <f aca="false">AND(Tasks[[#This Row],[Task Name]]&lt;&gt;"",Tasks[[#This Row],[_NextLevel]]&gt;Tasks[[#This Row],[_Level]])</f>
        <v>0</v>
      </c>
      <c r="BZ118" s="42" t="n">
        <f aca="false">IF(Tasks[[#This Row],[_IsSummary]],COUNTIF(Tasks[WBS],Tasks[[#This Row],[WBS]]&amp;".*"),0)</f>
        <v>0</v>
      </c>
      <c r="CA118" s="42" t="n">
        <f aca="false">IF(AND(Tasks[[#This Row],[Task Name]]&lt;&gt;"",NOT(Tasks[[#This Row],[_IsSummary]])),1,0)</f>
        <v>0</v>
      </c>
      <c r="CB118" s="42" t="n">
        <f aca="false">IF(N(Tasks[[#This Row],[_Pred1UID]])=0,0,IFERROR(MATCH(Tasks[[#This Row],[_Pred1UID]],Tasks[UID],0),-1))</f>
        <v>0</v>
      </c>
      <c r="CC118" s="42" t="n">
        <f aca="false">IF(N(Tasks[[#This Row],[_Pred2UID]])=0,0,IFERROR(MATCH(Tasks[[#This Row],[_Pred2UID]],Tasks[UID],0),-1))</f>
        <v>0</v>
      </c>
      <c r="CD118" s="42" t="n">
        <f aca="false">IF(N(Tasks[[#This Row],[_Pred3UID]])=0,0,IFERROR(MATCH(Tasks[[#This Row],[_Pred3UID]],Tasks[UID],0),-1))</f>
        <v>0</v>
      </c>
      <c r="CE118" s="42" t="n">
        <f aca="false">IF(N(Tasks[[#This Row],[_Pred4UID]])=0,0,IFERROR(MATCH(Tasks[[#This Row],[_Pred4UID]],Tasks[UID],0),-1))</f>
        <v>0</v>
      </c>
      <c r="CF1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8" s="89" t="n">
        <f aca="false">IF(OR(Tasks[[#This Row],[_ConstraintCode]]=2,Tasks[[#This Row],[_ConstraintCode]]=3,Tasks[[#This Row],[_ConstraintCode]]=4,Tasks[[#This Row],[_ConstraintCode]]=6),Tasks[[#This Row],[_ConstraintStart]],0)</f>
        <v>0</v>
      </c>
      <c r="CI118" s="89" t="n">
        <f aca="false">IF(OR(Tasks[[#This Row],[_ConstraintCode]]=2,Tasks[[#This Row],[_ConstraintCode]]=3,Tasks[[#This Row],[_ConstraintCode]]=5,Tasks[[#This Row],[_ConstraintCode]]=7),Tasks[[#This Row],[_ConstraintStart]],2958465)</f>
        <v>2958465</v>
      </c>
      <c r="CJ1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8" s="89" t="str">
        <f aca="false">IF(NOT(Tasks[[#This Row],[_IsLeaf]]=1),"",IF(N(Tasks[[#This Row],[_Days]])&lt;=0,Tasks[[#This Row],[_LeafCalcStart]],WORKDAY.INTL(Tasks[[#This Row],[_LeafCalcStart]],Tasks[[#This Row],[_Days]]-1,WorkWeek,Holidays)))</f>
        <v/>
      </c>
      <c r="CL1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8" s="42" t="str">
        <f aca="false">IF(Tasks[[#This Row],[_Predecessors]]="","",TRIM(MID(SUBSTITUTE(SUBSTITUTE(SUBSTITUTE(UPPER(Tasks[[#This Row],[_Predecessors]]),";",",")," ",""),",",REPT(" ",99)),1,99)))</f>
        <v/>
      </c>
      <c r="CO118" s="42" t="str">
        <f aca="false">IF(Tasks[[#This Row],[_Pred1Text]]="","",IFERROR(VALUE(LEFT(Tasks[[#This Row],[_Pred1Text]],MIN(FIND("F",Tasks[[#This Row],[_Pred1Text]]&amp;"F"),FIND("S",Tasks[[#This Row],[_Pred1Text]]&amp;"S"),FIND("+",Tasks[[#This Row],[_Pred1Text]]&amp;"+"),FIND("-",Tasks[[#This Row],[_Pred1Text]]&amp;"-"))-1)),""))</f>
        <v/>
      </c>
      <c r="CP1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8" s="42" t="str">
        <f aca="false">IF(Tasks[[#This Row],[_Pred1Text]]="","",TRIM(MID(SUBSTITUTE(SUBSTITUTE(SUBSTITUTE(UPPER(Tasks[[#This Row],[_Predecessors]]),";",",")," ",""),",",REPT(" ",99)),100,99)))</f>
        <v/>
      </c>
      <c r="CS118" s="42" t="str">
        <f aca="false">IF(Tasks[[#This Row],[_Pred2Text]]="","",IFERROR(VALUE(LEFT(Tasks[[#This Row],[_Pred2Text]],MIN(FIND("F",Tasks[[#This Row],[_Pred2Text]]&amp;"F"),FIND("S",Tasks[[#This Row],[_Pred2Text]]&amp;"S"),FIND("+",Tasks[[#This Row],[_Pred2Text]]&amp;"+"),FIND("-",Tasks[[#This Row],[_Pred2Text]]&amp;"-"))-1)),""))</f>
        <v/>
      </c>
      <c r="CT1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8" s="42" t="str">
        <f aca="false">IF(Tasks[[#This Row],[_Pred2Text]]="","",TRIM(MID(SUBSTITUTE(SUBSTITUTE(SUBSTITUTE(UPPER(Tasks[[#This Row],[_Predecessors]]),";",",")," ",""),",",REPT(" ",99)),199,99)))</f>
        <v/>
      </c>
      <c r="CW118" s="42" t="str">
        <f aca="false">IF(Tasks[[#This Row],[_Pred3Text]]="","",IFERROR(VALUE(LEFT(Tasks[[#This Row],[_Pred3Text]],MIN(FIND("F",Tasks[[#This Row],[_Pred3Text]]&amp;"F"),FIND("S",Tasks[[#This Row],[_Pred3Text]]&amp;"S"),FIND("+",Tasks[[#This Row],[_Pred3Text]]&amp;"+"),FIND("-",Tasks[[#This Row],[_Pred3Text]]&amp;"-"))-1)),""))</f>
        <v/>
      </c>
      <c r="CX1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8" s="42" t="str">
        <f aca="false">IF(Tasks[[#This Row],[_Pred3Text]]="","",TRIM(MID(SUBSTITUTE(SUBSTITUTE(SUBSTITUTE(UPPER(Tasks[[#This Row],[_Predecessors]]),";",",")," ",""),",",REPT(" ",99)),298,99)))</f>
        <v/>
      </c>
      <c r="DA118" s="42" t="str">
        <f aca="false">IF(Tasks[[#This Row],[_Pred4Text]]="","",IFERROR(VALUE(LEFT(Tasks[[#This Row],[_Pred4Text]],MIN(FIND("F",Tasks[[#This Row],[_Pred4Text]]&amp;"F"),FIND("S",Tasks[[#This Row],[_Pred4Text]]&amp;"S"),FIND("+",Tasks[[#This Row],[_Pred4Text]]&amp;"+"),FIND("-",Tasks[[#This Row],[_Pred4Text]]&amp;"-"))-1)),""))</f>
        <v/>
      </c>
      <c r="DB1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8" s="42" t="str">
        <f aca="false">IF(OR(Tasks[[#This Row],[Task Name]]="",Tasks[[#This Row],[_Resources]]=""),"",TRIM(MID(SUBSTITUTE(Tasks[[#This Row],[_Resources]],",",REPT(" ",99)),1,99)))</f>
        <v/>
      </c>
      <c r="DE118" s="42" t="str">
        <f aca="false">IF(Tasks[[#This Row],[_Res1Text]]="","",TRIM(MID(SUBSTITUTE(Tasks[[#This Row],[_Resources]],",",REPT(" ",99)),100,99)))</f>
        <v/>
      </c>
      <c r="DF118" s="42" t="str">
        <f aca="false">IF(Tasks[[#This Row],[_Res2Text]]="","",TRIM(MID(SUBSTITUTE(Tasks[[#This Row],[_Resources]],",",REPT(" ",99)),199,99)))</f>
        <v/>
      </c>
      <c r="DG118" s="42" t="str">
        <f aca="false">IF(Tasks[[#This Row],[_Res3Text]]="","",TRIM(MID(SUBSTITUTE(Tasks[[#This Row],[_Resources]],",",REPT(" ",99)),298,99)))</f>
        <v/>
      </c>
      <c r="DH118" s="42" t="n">
        <f aca="false">IF(Tasks[[#This Row],[_Res1Text]]="",0,IFERROR(MATCH(TRIM(LEFT(Tasks[[#This Row],[_Res1Text]],FIND("[",Tasks[[#This Row],[_Res1Text]]&amp;"[")-1)),res_Name,0),IFERROR(MATCH(TRIM(LEFT(Tasks[[#This Row],[_Res1Text]],FIND("[",Tasks[[#This Row],[_Res1Text]]&amp;"[")-1)),res_Initials,0),0)))</f>
        <v>0</v>
      </c>
      <c r="DI118" s="42" t="n">
        <f aca="false">IF(Tasks[[#This Row],[_Res2Text]]="",0,IFERROR(MATCH(TRIM(LEFT(Tasks[[#This Row],[_Res2Text]],FIND("[",Tasks[[#This Row],[_Res2Text]]&amp;"[")-1)),res_Name,0),IFERROR(MATCH(TRIM(LEFT(Tasks[[#This Row],[_Res2Text]],FIND("[",Tasks[[#This Row],[_Res2Text]]&amp;"[")-1)),res_Initials,0),0)))</f>
        <v>0</v>
      </c>
      <c r="DJ118" s="42" t="n">
        <f aca="false">IF(Tasks[[#This Row],[_Res3Text]]="",0,IFERROR(MATCH(TRIM(LEFT(Tasks[[#This Row],[_Res3Text]],FIND("[",Tasks[[#This Row],[_Res3Text]]&amp;"[")-1)),res_Name,0),IFERROR(MATCH(TRIM(LEFT(Tasks[[#This Row],[_Res3Text]],FIND("[",Tasks[[#This Row],[_Res3Text]]&amp;"[")-1)),res_Initials,0),0)))</f>
        <v>0</v>
      </c>
      <c r="DK118" s="42" t="n">
        <f aca="false">IF(Tasks[[#This Row],[_Res4Text]]="",0,IFERROR(MATCH(TRIM(LEFT(Tasks[[#This Row],[_Res4Text]],FIND("[",Tasks[[#This Row],[_Res4Text]]&amp;"[")-1)),res_Name,0),IFERROR(MATCH(TRIM(LEFT(Tasks[[#This Row],[_Res4Text]],FIND("[",Tasks[[#This Row],[_Res4Text]]&amp;"[")-1)),res_Initials,0),0)))</f>
        <v>0</v>
      </c>
      <c r="DL118" s="42" t="str">
        <f aca="false">IF(Tasks[[#This Row],[_Res1Text]]="","",IF(Tasks[[#This Row],[_Res1Row]]&gt;0,INDEX(res_Name,Tasks[[#This Row],[_Res1Row]]),TRIM(LEFT(Tasks[[#This Row],[_Res1Text]],FIND("[",Tasks[[#This Row],[_Res1Text]]&amp;"[")-1))))</f>
        <v/>
      </c>
      <c r="DM1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8" s="42" t="n">
        <f aca="false">IF(NOT(Tasks[[#This Row],[_IsLeaf]]=1),0,(Tasks[[#This Row],[_Resource1]]&lt;&gt;"")+(Tasks[[#This Row],[_Res2]]&lt;&gt;"")+(Tasks[[#This Row],[_Res3]]&lt;&gt;"")+(Tasks[[#This Row],[_Res4]]&lt;&gt;""))</f>
        <v>0</v>
      </c>
      <c r="DO118" s="42" t="str">
        <f aca="false">IF(Tasks[[#This Row],[_Res2Text]]="","",IF(Tasks[[#This Row],[_Res2Row]]&gt;0,INDEX(res_Name,Tasks[[#This Row],[_Res2Row]]),TRIM(LEFT(Tasks[[#This Row],[_Res2Text]],FIND("[",Tasks[[#This Row],[_Res2Text]]&amp;"[")-1))))</f>
        <v/>
      </c>
      <c r="DP1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8" s="42" t="n">
        <f aca="false">IF(OR(NOT(Tasks[[#This Row],[_IsLeaf]]=1),Tasks[[#This Row],[_Res2Row]]=0),0,N(Tasks[[#This Row],[_Days]])*HoursPerDay*IF(Tasks[[#This Row],[_Res2Units]]="",DefaultUnits,Tasks[[#This Row],[_Res2Units]]))</f>
        <v>0</v>
      </c>
      <c r="DR118" s="42" t="n">
        <f aca="false">IF(AND(AND(Tasks[[#This Row],[_IsLeaf]]=1,Tasks[[#This Row],[_LeafTotalWork]]&gt;0),Tasks[[#This Row],[_Res2Work]]&gt;0),Tasks[[#This Row],[_Res2Work]]/(Tasks[[#This Row],[_FinishWorkday]]-Tasks[[#This Row],[_StartWorkday]]+1),0)</f>
        <v>0</v>
      </c>
      <c r="DS118" s="42" t="n">
        <f aca="false">Tasks[[#This Row],[_Res2WorkPerWD]]*MAX(0,Tasks[[#This Row],[_StartWorkday]]-1)</f>
        <v>0</v>
      </c>
      <c r="DT118" s="42" t="n">
        <f aca="false">Tasks[[#This Row],[_Res2Work]]*Tasks[[#This Row],[_LeafProgress]]</f>
        <v>0</v>
      </c>
      <c r="DU118" s="42" t="str">
        <f aca="false">IF(Tasks[[#This Row],[_Res3Text]]="","",IF(Tasks[[#This Row],[_Res3Row]]&gt;0,INDEX(res_Name,Tasks[[#This Row],[_Res3Row]]),TRIM(LEFT(Tasks[[#This Row],[_Res3Text]],FIND("[",Tasks[[#This Row],[_Res3Text]]&amp;"[")-1))))</f>
        <v/>
      </c>
      <c r="DV1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8" s="42" t="n">
        <f aca="false">IF(OR(NOT(Tasks[[#This Row],[_IsLeaf]]=1),Tasks[[#This Row],[_Res3Row]]=0),0,N(Tasks[[#This Row],[_Days]])*HoursPerDay*IF(Tasks[[#This Row],[_Res3Units]]="",DefaultUnits,Tasks[[#This Row],[_Res3Units]]))</f>
        <v>0</v>
      </c>
      <c r="DX118" s="42" t="n">
        <f aca="false">IF(AND(AND(Tasks[[#This Row],[_IsLeaf]]=1,Tasks[[#This Row],[_LeafTotalWork]]&gt;0),Tasks[[#This Row],[_Res3Work]]&gt;0),Tasks[[#This Row],[_Res3Work]]/(Tasks[[#This Row],[_FinishWorkday]]-Tasks[[#This Row],[_StartWorkday]]+1),0)</f>
        <v>0</v>
      </c>
      <c r="DY118" s="42" t="n">
        <f aca="false">Tasks[[#This Row],[_Res3WorkPerWD]]*MAX(0,Tasks[[#This Row],[_StartWorkday]]-1)</f>
        <v>0</v>
      </c>
      <c r="DZ118" s="42" t="n">
        <f aca="false">Tasks[[#This Row],[_Res3Work]]*Tasks[[#This Row],[_LeafProgress]]</f>
        <v>0</v>
      </c>
      <c r="EA118" s="42" t="str">
        <f aca="false">IF(Tasks[[#This Row],[_Res4Text]]="","",IF(Tasks[[#This Row],[_Res4Row]]&gt;0,INDEX(res_Name,Tasks[[#This Row],[_Res4Row]]),TRIM(LEFT(Tasks[[#This Row],[_Res4Text]],FIND("[",Tasks[[#This Row],[_Res4Text]]&amp;"[")-1))))</f>
        <v/>
      </c>
      <c r="EB1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8" s="42" t="n">
        <f aca="false">IF(OR(NOT(Tasks[[#This Row],[_IsLeaf]]=1),Tasks[[#This Row],[_Res4Row]]=0),0,N(Tasks[[#This Row],[_Days]])*HoursPerDay*IF(Tasks[[#This Row],[_Res4Units]]="",DefaultUnits,Tasks[[#This Row],[_Res4Units]]))</f>
        <v>0</v>
      </c>
      <c r="ED118" s="42" t="n">
        <f aca="false">IF(AND(AND(Tasks[[#This Row],[_IsLeaf]]=1,Tasks[[#This Row],[_LeafTotalWork]]&gt;0),Tasks[[#This Row],[_Res4Work]]&gt;0),Tasks[[#This Row],[_Res4Work]]/(Tasks[[#This Row],[_FinishWorkday]]-Tasks[[#This Row],[_StartWorkday]]+1),0)</f>
        <v>0</v>
      </c>
      <c r="EE118" s="42" t="n">
        <f aca="false">Tasks[[#This Row],[_Res4WorkPerWD]]*MAX(0,Tasks[[#This Row],[_StartWorkday]]-1)</f>
        <v>0</v>
      </c>
      <c r="EF118" s="42" t="n">
        <f aca="false">Tasks[[#This Row],[_Res4Work]]*Tasks[[#This Row],[_LeafProgress]]</f>
        <v>0</v>
      </c>
      <c r="EG118" s="42" t="n">
        <f aca="false">IF(ISNUMBER(Tasks[[#This Row],[% Complete]]),Tasks[[#This Row],[% Complete]],IF(Tasks[[#This Row],[Stage]]="",0,IFERROR(INDEX(stg_Pct,MATCH(Tasks[[#This Row],[Stage]],stg_Name,0)),0)))</f>
        <v>0</v>
      </c>
      <c r="EH118" s="42" t="n">
        <f aca="false">IF(NOT(Tasks[[#This Row],[_IsLeaf]]=1),0,IF(N(Tasks[[#This Row],[Actual Finish]])&gt;0,1,MIN(1,Tasks[[#This Row],[_Pct]])))</f>
        <v>0</v>
      </c>
      <c r="EI118" s="42" t="n">
        <f aca="false">IF(OR(NOT(Tasks[[#This Row],[_IsLeaf]]=1),Tasks[[#This Row],[_Res1Row]]=0),0,N(Tasks[[#This Row],[_Days]])*HoursPerDay*IF(Tasks[[#This Row],[_Units1]]="",DefaultUnits,Tasks[[#This Row],[_Units1]]))</f>
        <v>0</v>
      </c>
      <c r="EJ118" s="42" t="n">
        <f aca="false">Tasks[[#This Row],[_LeafWork]]+Tasks[[#This Row],[_Res2Work]]+Tasks[[#This Row],[_Res3Work]]+Tasks[[#This Row],[_Res4Work]]</f>
        <v>0</v>
      </c>
      <c r="EK1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8" s="42" t="n">
        <f aca="false">IF(NOT(Tasks[[#This Row],[_IsLeaf]]=1),0,MAX(_xlfn.MAXIFS(Tasks[_Row],Tasks[_Pred1UID],Tasks[[#This Row],[UID]]),_xlfn.MAXIFS(Tasks[_Row],Tasks[_Pred2UID],Tasks[[#This Row],[UID]]),_xlfn.MAXIFS(Tasks[_Row],Tasks[_Pred3UID],Tasks[[#This Row],[UID]]),_xlfn.MAXIFS(Tasks[_Row],Tasks[_Pred4UID],Tasks[[#This Row],[UID]])))</f>
        <v>0</v>
      </c>
      <c r="ET1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8" s="89" t="str">
        <f aca="false">IF(NOT(Tasks[[#This Row],[_IsLeaf]]=1),"",IF(N(Tasks[[#This Row],[_Days]])&lt;=0,Tasks[[#This Row],[_LeafLateFinish]],WORKDAY.INTL(Tasks[[#This Row],[_LeafLateFinish]],-(Tasks[[#This Row],[_Days]]-1),WorkWeek,Holidays)))</f>
        <v/>
      </c>
      <c r="EW1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8" s="88" t="b">
        <f aca="false">AND(Tasks[[#This Row],[_IsLeaf]]=1,Tasks[[#This Row],[_LeafProgress]]&lt;1,N(Tasks[[#This Row],[_LeafTotalSlack]])&lt;=CriticalSlackDays)</f>
        <v>0</v>
      </c>
      <c r="EY118" s="42" t="n">
        <f aca="false">IF(AND(Tasks[[#This Row],[_IsLeaf]]=1,Tasks[[#This Row],[_ConstraintCode]]=1,Tasks[[#This Row],[Mode]]&lt;&gt;"Manual",N(Tasks[[#This Row],[Actual Start]])=0),MAX(0,N(Tasks[[#This Row],[Free Slack]])),0)</f>
        <v>0</v>
      </c>
      <c r="EZ118" s="89" t="str">
        <f aca="false">IF(NOT(Tasks[[#This Row],[_IsLeaf]]=1),"",IF(Tasks[[#This Row],[_AlapShift]]=0,Tasks[[#This Row],[_LeafCalcStart]],WORKDAY.INTL(Tasks[[#This Row],[_LeafCalcStart]],Tasks[[#This Row],[_AlapShift]],WorkWeek,Holidays)))</f>
        <v/>
      </c>
      <c r="FA118" s="89" t="str">
        <f aca="false">IF(NOT(Tasks[[#This Row],[_IsLeaf]]=1),"",IF(Tasks[[#This Row],[_AlapShift]]=0,Tasks[[#This Row],[_LeafCalcFinish]],WORKDAY.INTL(Tasks[[#This Row],[_LeafCalcFinish]],Tasks[[#This Row],[_AlapShift]],WorkWeek,Holidays)))</f>
        <v/>
      </c>
      <c r="FB118" s="89" t="str">
        <f aca="false">IF(NOT(Tasks[[#This Row],[_IsLeaf]]=1),"",IF(Tasks[[#This Row],[_AlapShift]]=0,Tasks[[#This Row],[_LeafFcstStart]],WORKDAY.INTL(Tasks[[#This Row],[_LeafFcstStart]],Tasks[[#This Row],[_AlapShift]],WorkWeek,Holidays)))</f>
        <v/>
      </c>
      <c r="FC118" s="89" t="str">
        <f aca="false">IF(NOT(Tasks[[#This Row],[_IsLeaf]]=1),"",IF(Tasks[[#This Row],[_AlapShift]]=0,Tasks[[#This Row],[_LeafFcstFinish]],WORKDAY.INTL(Tasks[[#This Row],[_LeafFcstFinish]],Tasks[[#This Row],[_AlapShift]],WorkWeek,Holidays)))</f>
        <v/>
      </c>
      <c r="FD118" s="89" t="str">
        <f aca="false">IF(Tasks[[#This Row],[Task Name]]="","",IF(Tasks[[#This Row],[_IsSummary]],MIN(INDEX(Tasks[_ShownCalcStart],Tasks[[#This Row],[_Row]]+1):INDEX(Tasks[_ShownCalcStart],Tasks[[#This Row],[_Row]]+Tasks[[#This Row],[_Descendants]])),Tasks[[#This Row],[_ShownCalcStart]]))</f>
        <v/>
      </c>
      <c r="FE118" s="89" t="str">
        <f aca="false">IF(Tasks[[#This Row],[Task Name]]="","",IF(Tasks[[#This Row],[_IsSummary]],MAX(INDEX(Tasks[_ShownCalcFinish],Tasks[[#This Row],[_Row]]+1):INDEX(Tasks[_ShownCalcFinish],Tasks[[#This Row],[_Row]]+Tasks[[#This Row],[_Descendants]])),Tasks[[#This Row],[_ShownCalcFinish]]))</f>
        <v/>
      </c>
      <c r="FF1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8" s="42" t="n">
        <f aca="false">IF(AND(Tasks[[#This Row],[_IsLeaf]]=1,Tasks[[#This Row],[_LeafTotalWork]]&gt;0),NETWORKDAYS.INTL(ProjectStart,Tasks[[#This Row],[_ShownFcstStart]],WorkWeek,Holidays),0)</f>
        <v>0</v>
      </c>
      <c r="FS118" s="42" t="n">
        <f aca="false">IF(AND(Tasks[[#This Row],[_IsLeaf]]=1,Tasks[[#This Row],[_LeafTotalWork]]&gt;0),MAX(Tasks[[#This Row],[_StartWorkday]],NETWORKDAYS.INTL(ProjectStart,Tasks[[#This Row],[_ShownFcstFinish]],WorkWeek,Holidays)),0)</f>
        <v>0</v>
      </c>
      <c r="FT118" s="42" t="n">
        <f aca="false">IF(AND(Tasks[[#This Row],[_IsLeaf]]=1,Tasks[[#This Row],[_LeafTotalWork]]&gt;0),Tasks[[#This Row],[_LeafWork]]/(Tasks[[#This Row],[_FinishWorkday]]-Tasks[[#This Row],[_StartWorkday]]+1),0)</f>
        <v>0</v>
      </c>
      <c r="FU118" s="42" t="n">
        <f aca="false">Tasks[[#This Row],[_WorkPerWorkday]]*(Tasks[[#This Row],[_StartWorkday]]-1)</f>
        <v>-0</v>
      </c>
      <c r="FV118" s="42" t="n">
        <f aca="false">IF(Tasks[[#This Row],[_IsLeaf]]=1,MAX(N(Tasks[[#This Row],[_Days]]),0.1),0)</f>
        <v>0</v>
      </c>
      <c r="FW118" s="42" t="n">
        <f aca="false">Tasks[[#This Row],[_WeightDur]]*Tasks[[#This Row],[_LeafProgress]]</f>
        <v>0</v>
      </c>
      <c r="FX118" s="42" t="n">
        <f aca="false">Tasks[[#This Row],[_WeightDur]]*Tasks[[#This Row],[_PlannedPct]]</f>
        <v>0</v>
      </c>
      <c r="FY1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8" s="42" t="str">
        <f aca="false">IF(AND(Tasks[[#This Row],[_IsLeaf]]=1,N(Tasks[[#This Row],[_Days]])=0,Tasks[[#This Row],[_LeafProgress]]&lt;1),Tasks[[#This Row],[_ShownFcstFinish]]+Tasks[[#This Row],[_Row]]/100000,"")</f>
        <v/>
      </c>
      <c r="GA1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8" s="42" t="str">
        <f aca="false">IF(Tasks[[#This Row],[Task Name]]="","",LEFT(Tasks[[#This Row],[WBS]],FIND(".",Tasks[[#This Row],[WBS]]&amp;".")-1))</f>
        <v/>
      </c>
      <c r="GC118" s="42" t="str">
        <f aca="false">IF(AND(Tasks[[#This Row],[Task Name]]&lt;&gt;"",Tasks[[#This Row],[_Level]]=1),Tasks[[#This Row],[_Row]],"")</f>
        <v/>
      </c>
      <c r="GD118" s="42" t="str">
        <f aca="false">IF(AND(Tasks[[#This Row],[_IsLeaf]]=1,N(Tasks[[#This Row],[_Days]])=0),Tasks[[#This Row],[Planned Finish]]+Tasks[[#This Row],[_Row]]/100000,"")</f>
        <v/>
      </c>
      <c r="GE118" s="42" t="str">
        <f aca="false">IF(AND(Tasks[[#This Row],[_IsLeaf]]=1,Tasks[[#This Row],[_LeafProgress]]&lt;1,OR(N(Tasks[[#This Row],[Finish Var]])&gt;0,Tasks[[#This Row],[Status]]="Late Start")),MAX(0,Tasks[[#This Row],[Finish Var]])+1-Tasks[[#This Row],[_Row]]/1000000,"")</f>
        <v/>
      </c>
      <c r="GF118" s="42" t="str">
        <f aca="false">IF(AND(Tasks[[#This Row],[_IsLeaf]]=1,N(Tasks[[#This Row],[Actual Start]])=0,Tasks[[#This Row],[_ShownFcstStart]]&gt;=StatusDate,Tasks[[#This Row],[_ShownFcstStart]]&lt;=LookaheadEnd),Tasks[[#This Row],[_ShownFcstStart]]+Tasks[[#This Row],[_Row]]/100000,"")</f>
        <v/>
      </c>
      <c r="GG118" s="42" t="str">
        <f aca="false">IF(AND(Tasks[[#This Row],[_IsLeaf]]=1,Tasks[[#This Row],[_LeafProgress]]&lt;1,Tasks[[#This Row],[_ShownFcstFinish]]&gt;=StatusDate,Tasks[[#This Row],[_ShownFcstFinish]]&lt;=LookaheadEnd),Tasks[[#This Row],[_ShownFcstFinish]]+Tasks[[#This Row],[_Row]]/100000,"")</f>
        <v/>
      </c>
      <c r="GH118" s="42" t="str">
        <f aca="false">IF(Tasks[[#This Row],[_LeafCritical]],Tasks[[#This Row],[_ShownFcstStart]]+Tasks[[#This Row],[_Row]]/100000,"")</f>
        <v/>
      </c>
      <c r="GI118" s="42" t="n">
        <f aca="false">Tasks[[#This Row],[_LeafWork]]*Tasks[[#This Row],[_LeafProgress]]</f>
        <v>0</v>
      </c>
      <c r="GJ118" s="89" t="str">
        <f aca="false">IF(AND(Tasks[[#This Row],[_IsLeaf]]=1,Tasks[[#This Row],[_LeafProgress]]&gt;=1),IF(N(Tasks[[#This Row],[Actual Finish]])&gt;0,Tasks[[#This Row],[Actual Finish]],Tasks[[#This Row],[_ShownFcstFinish]]),"")</f>
        <v/>
      </c>
      <c r="GK118" s="42" t="n">
        <f aca="false">IF(Tasks[[#This Row],[_IsLeaf]]=1,N(Tasks[[#This Row],[Story Points]]),0)</f>
        <v>0</v>
      </c>
      <c r="GL118" s="42" t="str">
        <f aca="false">""</f>
        <v/>
      </c>
      <c r="GM118" s="88" t="b">
        <f aca="false">IF(Tasks[[#This Row],[Task Name]]="",FALSE(),AND(Tasks[[#This Row],[_IsLeaf]]=1,N(Tasks[[#This Row],[_Days]])=0))</f>
        <v>0</v>
      </c>
      <c r="GN118" s="89" t="n">
        <f aca="false">IF(Tasks[[#This Row],[Task Name]]="",0,IF(AND(Tasks[[#This Row],[_IsLeaf]]=1,NOT(Tasks[[#This Row],[_IsMilestone]]),N(Tasks[[#This Row],[Progress]])&gt;0),Tasks[[#This Row],[Start]],0))</f>
        <v>0</v>
      </c>
      <c r="GO118" s="89" t="n">
        <f aca="false">IF(Tasks[[#This Row],[_DoneFrom]]=0,0,IF(Tasks[[#This Row],[Progress]]&gt;=1,Tasks[[#This Row],[Finish]],MAX(Tasks[[#This Row],[_DoneFrom]],Tasks[[#This Row],[Start]]+ROUND((Tasks[[#This Row],[Finish]]-Tasks[[#This Row],[Start]]+1)*Tasks[[#This Row],[Progress]],0)-1)))</f>
        <v>0</v>
      </c>
      <c r="GP118" s="89" t="n">
        <f aca="false">IF(Tasks[[#This Row],[Task Name]]="",0,IF(OR(NOT(Tasks[[#This Row],[_IsLeaf]]=1),Tasks[[#This Row],[_IsMilestone]],N(Tasks[[#This Row],[Progress]])&gt;=1),0,IF(Tasks[[#This Row],[_DoneTo]]&gt;0,Tasks[[#This Row],[_DoneTo]]+1,Tasks[[#This Row],[Start]])))</f>
        <v>0</v>
      </c>
      <c r="GQ118" s="89" t="n">
        <f aca="false">IF(Tasks[[#This Row],[_RemFrom]]=0,0,Tasks[[#This Row],[Finish]])</f>
        <v>0</v>
      </c>
      <c r="GR118" s="88" t="b">
        <f aca="false">IF(Tasks[[#This Row],[Task Name]]="",FALSE(),OR(NOT(BaselineSet),N(Tasks[[#This Row],[Baseline Start]])&gt;0))</f>
        <v>0</v>
      </c>
      <c r="GS1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8" s="90" t="str">
        <f aca="false">IF(Tasks[[#This Row],[_IsLeaf]]=1,Tasks[[#This Row],[_Row]],"")</f>
        <v/>
      </c>
      <c r="GW118" s="90" t="str">
        <f aca="false">IFERROR(INDEX(Tasks[UID],SMALL(Tasks[_PickKey],Tasks[[#This Row],[_Row]]))&amp;" "&amp;INDEX(Tasks[Task Name],SMALL(Tasks[_PickKey],Tasks[[#This Row],[_Row]])),"")</f>
        <v/>
      </c>
      <c r="GX118" s="42" t="str">
        <f aca="false">IF(Tasks[[#This Row],[Task Name]]="","",IF(Tasks[[#This Row],[_IsSummary]],NETWORKDAYS.INTL(Tasks[[#This Row],[Start]],Tasks[[#This Row],[Finish]],WorkWeek,Holidays),N(Tasks[[#This Row],[_Days]])))</f>
        <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3"/>
      <c r="U119" s="23"/>
      <c r="V119" s="83"/>
      <c r="W119" s="23"/>
      <c r="X119" s="83"/>
      <c r="Y119" s="23"/>
      <c r="Z119" s="83"/>
      <c r="AA119" s="23"/>
      <c r="AB119" s="23"/>
      <c r="AC119" s="7"/>
      <c r="AD119" s="7"/>
      <c r="AE119" s="62" t="str">
        <f aca="false">IF(Tasks[[#This Row],[Task Name]]="","",IF(Tasks[[#This Row],[_IsSummary]],MIN(INDEX(Tasks[_ShownFcstStart],Tasks[[#This Row],[_Row]]+1):INDEX(Tasks[_ShownFcstStart],Tasks[[#This Row],[_Row]]+Tasks[[#This Row],[_Descendants]])),Tasks[[#This Row],[_ShownFcstStart]]))</f>
        <v/>
      </c>
      <c r="AF119" s="62"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9" s="7"/>
      <c r="AK119" s="22"/>
      <c r="AL119" s="23"/>
      <c r="AM119" s="7"/>
      <c r="AN119" s="46"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2" t="str">
        <f aca="false">IF(Tasks[[#This Row],[Task Name]]="","",IF(N(Tasks[[#This Row],[Baseline Start]])&gt;0,Tasks[[#This Row],[Baseline Start]],Tasks[[#This Row],[_CalcStart]]))</f>
        <v/>
      </c>
      <c r="AR119" s="62" t="str">
        <f aca="false">IF(Tasks[[#This Row],[Task Name]]="","",IF(N(Tasks[[#This Row],[Baseline Finish]])&gt;0,Tasks[[#This Row],[Baseline Finish]],Tasks[[#This Row],[_CalcFinish]]))</f>
        <v/>
      </c>
      <c r="AS119" s="46" t="str">
        <f aca="false">IF(Tasks[[#This Row],[Task Name]]="","",IF(Tasks[[#This Row],[Start]]&gt;=Tasks[[#This Row],[Planned Start]],NETWORKDAYS.INTL(Tasks[[#This Row],[Planned Start]],Tasks[[#This Row],[Start]],WorkWeek,Holidays)-1,1-NETWORKDAYS.INTL(Tasks[[#This Row],[Start]],Tasks[[#This Row],[Planned Start]],WorkWeek,Holidays)))</f>
        <v/>
      </c>
      <c r="AT119" s="62" t="str">
        <f aca="false">IF(Tasks[[#This Row],[Task Name]]="","",IF(Tasks[[#This Row],[_IsSummary]],MIN(INDEX(Tasks[_LeafLateStart],Tasks[[#This Row],[_Row]]+1):INDEX(Tasks[_LeafLateStart],Tasks[[#This Row],[_Row]]+Tasks[[#This Row],[_Descendants]])),Tasks[[#This Row],[_LeafLateStart]]))</f>
        <v/>
      </c>
      <c r="AU119" s="62" t="str">
        <f aca="false">IF(Tasks[[#This Row],[Task Name]]="","",IF(Tasks[[#This Row],[_IsSummary]],MAX(INDEX(Tasks[_LeafLateFinish],Tasks[[#This Row],[_Row]]+1):INDEX(Tasks[_LeafLateFinish],Tasks[[#This Row],[_Row]]+Tasks[[#This Row],[_Descendants]])),Tasks[[#This Row],[_LeafLateFinish]]))</f>
        <v/>
      </c>
      <c r="AV119" s="46"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4"/>
      <c r="BA1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5"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6"/>
      <c r="BJ119" s="22"/>
      <c r="BK119" s="46" t="str">
        <f aca="false">IF(OR(Tasks[[#This Row],[Task Name]]="",Tasks[[#This Row],[Baseline Duration]]=""),"",Tasks[[#This Row],[_SpanDays]]-N(Tasks[[#This Row],[Baseline Duration]]))</f>
        <v/>
      </c>
      <c r="BL119" s="85" t="str">
        <f aca="false">IF(OR(Tasks[[#This Row],[Task Name]]="",Tasks[[#This Row],[Baseline Work]]=""),"",Tasks[[#This Row],[Work]]-N(Tasks[[#This Row],[Baseline Work]]))</f>
        <v/>
      </c>
      <c r="BM119" s="62" t="str">
        <f aca="false">IF(Tasks[[#This Row],[Task Name]]="","",IF(OR(TakeBaseline="Yes",N(Tasks[[#This Row],[Baseline Start]])=0),Tasks[[#This Row],[Start]],Tasks[[#This Row],[Baseline Start]]))</f>
        <v/>
      </c>
      <c r="BN119" s="62"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5" t="str">
        <f aca="false">IF(Tasks[[#This Row],[Task Name]]="","",IF(OR(TakeBaseline="Yes",N(Tasks[[#This Row],[Baseline Work]])=0),Tasks[[#This Row],[Work]],Tasks[[#This Row],[Baseline Work]]))</f>
        <v/>
      </c>
      <c r="BQ119" s="7"/>
      <c r="BR119" s="7"/>
      <c r="BS119" s="22"/>
      <c r="BT119" s="87"/>
      <c r="BU119" s="42" t="str">
        <f aca="false">IF(Tasks[[#This Row],[Task Name]]="","",MAX(1,N(Tasks[[#This Row],[Level]])))</f>
        <v/>
      </c>
      <c r="BV119" s="42" t="n">
        <f aca="false">ROW()-ROW(Tasks[[#Headers],[ID]])</f>
        <v>114</v>
      </c>
      <c r="BW119" s="42" t="n">
        <f aca="false">IF(OR(Tasks[[#This Row],[Task Name]]="",Tasks[[#This Row],[_Level]]&lt;=1),0,IFERROR(LOOKUP(2,1/(Tasks[[#Headers],[_Level]]:Tasks[[#This Row],[_Level]]=Tasks[[#This Row],[_Level]]-1),ROW(Tasks[[#Headers],[_Level]]:Tasks[[#This Row],[_Level]])),0))</f>
        <v>0</v>
      </c>
      <c r="BX119" s="42" t="n">
        <f aca="false">IFERROR(N(INDEX(Tasks[_Level],Tasks[[#This Row],[_Row]]+1)),0)</f>
        <v>0</v>
      </c>
      <c r="BY119" s="88" t="b">
        <f aca="false">AND(Tasks[[#This Row],[Task Name]]&lt;&gt;"",Tasks[[#This Row],[_NextLevel]]&gt;Tasks[[#This Row],[_Level]])</f>
        <v>0</v>
      </c>
      <c r="BZ119" s="42" t="n">
        <f aca="false">IF(Tasks[[#This Row],[_IsSummary]],COUNTIF(Tasks[WBS],Tasks[[#This Row],[WBS]]&amp;".*"),0)</f>
        <v>0</v>
      </c>
      <c r="CA119" s="42" t="n">
        <f aca="false">IF(AND(Tasks[[#This Row],[Task Name]]&lt;&gt;"",NOT(Tasks[[#This Row],[_IsSummary]])),1,0)</f>
        <v>0</v>
      </c>
      <c r="CB119" s="42" t="n">
        <f aca="false">IF(N(Tasks[[#This Row],[_Pred1UID]])=0,0,IFERROR(MATCH(Tasks[[#This Row],[_Pred1UID]],Tasks[UID],0),-1))</f>
        <v>0</v>
      </c>
      <c r="CC119" s="42" t="n">
        <f aca="false">IF(N(Tasks[[#This Row],[_Pred2UID]])=0,0,IFERROR(MATCH(Tasks[[#This Row],[_Pred2UID]],Tasks[UID],0),-1))</f>
        <v>0</v>
      </c>
      <c r="CD119" s="42" t="n">
        <f aca="false">IF(N(Tasks[[#This Row],[_Pred3UID]])=0,0,IFERROR(MATCH(Tasks[[#This Row],[_Pred3UID]],Tasks[UID],0),-1))</f>
        <v>0</v>
      </c>
      <c r="CE119" s="42" t="n">
        <f aca="false">IF(N(Tasks[[#This Row],[_Pred4UID]])=0,0,IFERROR(MATCH(Tasks[[#This Row],[_Pred4UID]],Tasks[UID],0),-1))</f>
        <v>0</v>
      </c>
      <c r="CF1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9" s="89" t="n">
        <f aca="false">IF(OR(Tasks[[#This Row],[_ConstraintCode]]=2,Tasks[[#This Row],[_ConstraintCode]]=3,Tasks[[#This Row],[_ConstraintCode]]=4,Tasks[[#This Row],[_ConstraintCode]]=6),Tasks[[#This Row],[_ConstraintStart]],0)</f>
        <v>0</v>
      </c>
      <c r="CI119" s="89" t="n">
        <f aca="false">IF(OR(Tasks[[#This Row],[_ConstraintCode]]=2,Tasks[[#This Row],[_ConstraintCode]]=3,Tasks[[#This Row],[_ConstraintCode]]=5,Tasks[[#This Row],[_ConstraintCode]]=7),Tasks[[#This Row],[_ConstraintStart]],2958465)</f>
        <v>2958465</v>
      </c>
      <c r="CJ1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9" s="89" t="str">
        <f aca="false">IF(NOT(Tasks[[#This Row],[_IsLeaf]]=1),"",IF(N(Tasks[[#This Row],[_Days]])&lt;=0,Tasks[[#This Row],[_LeafCalcStart]],WORKDAY.INTL(Tasks[[#This Row],[_LeafCalcStart]],Tasks[[#This Row],[_Days]]-1,WorkWeek,Holidays)))</f>
        <v/>
      </c>
      <c r="CL1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9" s="42" t="str">
        <f aca="false">IF(Tasks[[#This Row],[_Predecessors]]="","",TRIM(MID(SUBSTITUTE(SUBSTITUTE(SUBSTITUTE(UPPER(Tasks[[#This Row],[_Predecessors]]),";",",")," ",""),",",REPT(" ",99)),1,99)))</f>
        <v/>
      </c>
      <c r="CO119" s="42" t="str">
        <f aca="false">IF(Tasks[[#This Row],[_Pred1Text]]="","",IFERROR(VALUE(LEFT(Tasks[[#This Row],[_Pred1Text]],MIN(FIND("F",Tasks[[#This Row],[_Pred1Text]]&amp;"F"),FIND("S",Tasks[[#This Row],[_Pred1Text]]&amp;"S"),FIND("+",Tasks[[#This Row],[_Pred1Text]]&amp;"+"),FIND("-",Tasks[[#This Row],[_Pred1Text]]&amp;"-"))-1)),""))</f>
        <v/>
      </c>
      <c r="CP1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9" s="42" t="str">
        <f aca="false">IF(Tasks[[#This Row],[_Pred1Text]]="","",TRIM(MID(SUBSTITUTE(SUBSTITUTE(SUBSTITUTE(UPPER(Tasks[[#This Row],[_Predecessors]]),";",",")," ",""),",",REPT(" ",99)),100,99)))</f>
        <v/>
      </c>
      <c r="CS119" s="42" t="str">
        <f aca="false">IF(Tasks[[#This Row],[_Pred2Text]]="","",IFERROR(VALUE(LEFT(Tasks[[#This Row],[_Pred2Text]],MIN(FIND("F",Tasks[[#This Row],[_Pred2Text]]&amp;"F"),FIND("S",Tasks[[#This Row],[_Pred2Text]]&amp;"S"),FIND("+",Tasks[[#This Row],[_Pred2Text]]&amp;"+"),FIND("-",Tasks[[#This Row],[_Pred2Text]]&amp;"-"))-1)),""))</f>
        <v/>
      </c>
      <c r="CT1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9" s="42" t="str">
        <f aca="false">IF(Tasks[[#This Row],[_Pred2Text]]="","",TRIM(MID(SUBSTITUTE(SUBSTITUTE(SUBSTITUTE(UPPER(Tasks[[#This Row],[_Predecessors]]),";",",")," ",""),",",REPT(" ",99)),199,99)))</f>
        <v/>
      </c>
      <c r="CW119" s="42" t="str">
        <f aca="false">IF(Tasks[[#This Row],[_Pred3Text]]="","",IFERROR(VALUE(LEFT(Tasks[[#This Row],[_Pred3Text]],MIN(FIND("F",Tasks[[#This Row],[_Pred3Text]]&amp;"F"),FIND("S",Tasks[[#This Row],[_Pred3Text]]&amp;"S"),FIND("+",Tasks[[#This Row],[_Pred3Text]]&amp;"+"),FIND("-",Tasks[[#This Row],[_Pred3Text]]&amp;"-"))-1)),""))</f>
        <v/>
      </c>
      <c r="CX1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9" s="42" t="str">
        <f aca="false">IF(Tasks[[#This Row],[_Pred3Text]]="","",TRIM(MID(SUBSTITUTE(SUBSTITUTE(SUBSTITUTE(UPPER(Tasks[[#This Row],[_Predecessors]]),";",",")," ",""),",",REPT(" ",99)),298,99)))</f>
        <v/>
      </c>
      <c r="DA119" s="42" t="str">
        <f aca="false">IF(Tasks[[#This Row],[_Pred4Text]]="","",IFERROR(VALUE(LEFT(Tasks[[#This Row],[_Pred4Text]],MIN(FIND("F",Tasks[[#This Row],[_Pred4Text]]&amp;"F"),FIND("S",Tasks[[#This Row],[_Pred4Text]]&amp;"S"),FIND("+",Tasks[[#This Row],[_Pred4Text]]&amp;"+"),FIND("-",Tasks[[#This Row],[_Pred4Text]]&amp;"-"))-1)),""))</f>
        <v/>
      </c>
      <c r="DB1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9" s="42" t="str">
        <f aca="false">IF(OR(Tasks[[#This Row],[Task Name]]="",Tasks[[#This Row],[_Resources]]=""),"",TRIM(MID(SUBSTITUTE(Tasks[[#This Row],[_Resources]],",",REPT(" ",99)),1,99)))</f>
        <v/>
      </c>
      <c r="DE119" s="42" t="str">
        <f aca="false">IF(Tasks[[#This Row],[_Res1Text]]="","",TRIM(MID(SUBSTITUTE(Tasks[[#This Row],[_Resources]],",",REPT(" ",99)),100,99)))</f>
        <v/>
      </c>
      <c r="DF119" s="42" t="str">
        <f aca="false">IF(Tasks[[#This Row],[_Res2Text]]="","",TRIM(MID(SUBSTITUTE(Tasks[[#This Row],[_Resources]],",",REPT(" ",99)),199,99)))</f>
        <v/>
      </c>
      <c r="DG119" s="42" t="str">
        <f aca="false">IF(Tasks[[#This Row],[_Res3Text]]="","",TRIM(MID(SUBSTITUTE(Tasks[[#This Row],[_Resources]],",",REPT(" ",99)),298,99)))</f>
        <v/>
      </c>
      <c r="DH119" s="42" t="n">
        <f aca="false">IF(Tasks[[#This Row],[_Res1Text]]="",0,IFERROR(MATCH(TRIM(LEFT(Tasks[[#This Row],[_Res1Text]],FIND("[",Tasks[[#This Row],[_Res1Text]]&amp;"[")-1)),res_Name,0),IFERROR(MATCH(TRIM(LEFT(Tasks[[#This Row],[_Res1Text]],FIND("[",Tasks[[#This Row],[_Res1Text]]&amp;"[")-1)),res_Initials,0),0)))</f>
        <v>0</v>
      </c>
      <c r="DI119" s="42" t="n">
        <f aca="false">IF(Tasks[[#This Row],[_Res2Text]]="",0,IFERROR(MATCH(TRIM(LEFT(Tasks[[#This Row],[_Res2Text]],FIND("[",Tasks[[#This Row],[_Res2Text]]&amp;"[")-1)),res_Name,0),IFERROR(MATCH(TRIM(LEFT(Tasks[[#This Row],[_Res2Text]],FIND("[",Tasks[[#This Row],[_Res2Text]]&amp;"[")-1)),res_Initials,0),0)))</f>
        <v>0</v>
      </c>
      <c r="DJ119" s="42" t="n">
        <f aca="false">IF(Tasks[[#This Row],[_Res3Text]]="",0,IFERROR(MATCH(TRIM(LEFT(Tasks[[#This Row],[_Res3Text]],FIND("[",Tasks[[#This Row],[_Res3Text]]&amp;"[")-1)),res_Name,0),IFERROR(MATCH(TRIM(LEFT(Tasks[[#This Row],[_Res3Text]],FIND("[",Tasks[[#This Row],[_Res3Text]]&amp;"[")-1)),res_Initials,0),0)))</f>
        <v>0</v>
      </c>
      <c r="DK119" s="42" t="n">
        <f aca="false">IF(Tasks[[#This Row],[_Res4Text]]="",0,IFERROR(MATCH(TRIM(LEFT(Tasks[[#This Row],[_Res4Text]],FIND("[",Tasks[[#This Row],[_Res4Text]]&amp;"[")-1)),res_Name,0),IFERROR(MATCH(TRIM(LEFT(Tasks[[#This Row],[_Res4Text]],FIND("[",Tasks[[#This Row],[_Res4Text]]&amp;"[")-1)),res_Initials,0),0)))</f>
        <v>0</v>
      </c>
      <c r="DL119" s="42" t="str">
        <f aca="false">IF(Tasks[[#This Row],[_Res1Text]]="","",IF(Tasks[[#This Row],[_Res1Row]]&gt;0,INDEX(res_Name,Tasks[[#This Row],[_Res1Row]]),TRIM(LEFT(Tasks[[#This Row],[_Res1Text]],FIND("[",Tasks[[#This Row],[_Res1Text]]&amp;"[")-1))))</f>
        <v/>
      </c>
      <c r="DM1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9" s="42" t="n">
        <f aca="false">IF(NOT(Tasks[[#This Row],[_IsLeaf]]=1),0,(Tasks[[#This Row],[_Resource1]]&lt;&gt;"")+(Tasks[[#This Row],[_Res2]]&lt;&gt;"")+(Tasks[[#This Row],[_Res3]]&lt;&gt;"")+(Tasks[[#This Row],[_Res4]]&lt;&gt;""))</f>
        <v>0</v>
      </c>
      <c r="DO119" s="42" t="str">
        <f aca="false">IF(Tasks[[#This Row],[_Res2Text]]="","",IF(Tasks[[#This Row],[_Res2Row]]&gt;0,INDEX(res_Name,Tasks[[#This Row],[_Res2Row]]),TRIM(LEFT(Tasks[[#This Row],[_Res2Text]],FIND("[",Tasks[[#This Row],[_Res2Text]]&amp;"[")-1))))</f>
        <v/>
      </c>
      <c r="DP1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9" s="42" t="n">
        <f aca="false">IF(OR(NOT(Tasks[[#This Row],[_IsLeaf]]=1),Tasks[[#This Row],[_Res2Row]]=0),0,N(Tasks[[#This Row],[_Days]])*HoursPerDay*IF(Tasks[[#This Row],[_Res2Units]]="",DefaultUnits,Tasks[[#This Row],[_Res2Units]]))</f>
        <v>0</v>
      </c>
      <c r="DR119" s="42" t="n">
        <f aca="false">IF(AND(AND(Tasks[[#This Row],[_IsLeaf]]=1,Tasks[[#This Row],[_LeafTotalWork]]&gt;0),Tasks[[#This Row],[_Res2Work]]&gt;0),Tasks[[#This Row],[_Res2Work]]/(Tasks[[#This Row],[_FinishWorkday]]-Tasks[[#This Row],[_StartWorkday]]+1),0)</f>
        <v>0</v>
      </c>
      <c r="DS119" s="42" t="n">
        <f aca="false">Tasks[[#This Row],[_Res2WorkPerWD]]*MAX(0,Tasks[[#This Row],[_StartWorkday]]-1)</f>
        <v>0</v>
      </c>
      <c r="DT119" s="42" t="n">
        <f aca="false">Tasks[[#This Row],[_Res2Work]]*Tasks[[#This Row],[_LeafProgress]]</f>
        <v>0</v>
      </c>
      <c r="DU119" s="42" t="str">
        <f aca="false">IF(Tasks[[#This Row],[_Res3Text]]="","",IF(Tasks[[#This Row],[_Res3Row]]&gt;0,INDEX(res_Name,Tasks[[#This Row],[_Res3Row]]),TRIM(LEFT(Tasks[[#This Row],[_Res3Text]],FIND("[",Tasks[[#This Row],[_Res3Text]]&amp;"[")-1))))</f>
        <v/>
      </c>
      <c r="DV1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9" s="42" t="n">
        <f aca="false">IF(OR(NOT(Tasks[[#This Row],[_IsLeaf]]=1),Tasks[[#This Row],[_Res3Row]]=0),0,N(Tasks[[#This Row],[_Days]])*HoursPerDay*IF(Tasks[[#This Row],[_Res3Units]]="",DefaultUnits,Tasks[[#This Row],[_Res3Units]]))</f>
        <v>0</v>
      </c>
      <c r="DX119" s="42" t="n">
        <f aca="false">IF(AND(AND(Tasks[[#This Row],[_IsLeaf]]=1,Tasks[[#This Row],[_LeafTotalWork]]&gt;0),Tasks[[#This Row],[_Res3Work]]&gt;0),Tasks[[#This Row],[_Res3Work]]/(Tasks[[#This Row],[_FinishWorkday]]-Tasks[[#This Row],[_StartWorkday]]+1),0)</f>
        <v>0</v>
      </c>
      <c r="DY119" s="42" t="n">
        <f aca="false">Tasks[[#This Row],[_Res3WorkPerWD]]*MAX(0,Tasks[[#This Row],[_StartWorkday]]-1)</f>
        <v>0</v>
      </c>
      <c r="DZ119" s="42" t="n">
        <f aca="false">Tasks[[#This Row],[_Res3Work]]*Tasks[[#This Row],[_LeafProgress]]</f>
        <v>0</v>
      </c>
      <c r="EA119" s="42" t="str">
        <f aca="false">IF(Tasks[[#This Row],[_Res4Text]]="","",IF(Tasks[[#This Row],[_Res4Row]]&gt;0,INDEX(res_Name,Tasks[[#This Row],[_Res4Row]]),TRIM(LEFT(Tasks[[#This Row],[_Res4Text]],FIND("[",Tasks[[#This Row],[_Res4Text]]&amp;"[")-1))))</f>
        <v/>
      </c>
      <c r="EB1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9" s="42" t="n">
        <f aca="false">IF(OR(NOT(Tasks[[#This Row],[_IsLeaf]]=1),Tasks[[#This Row],[_Res4Row]]=0),0,N(Tasks[[#This Row],[_Days]])*HoursPerDay*IF(Tasks[[#This Row],[_Res4Units]]="",DefaultUnits,Tasks[[#This Row],[_Res4Units]]))</f>
        <v>0</v>
      </c>
      <c r="ED119" s="42" t="n">
        <f aca="false">IF(AND(AND(Tasks[[#This Row],[_IsLeaf]]=1,Tasks[[#This Row],[_LeafTotalWork]]&gt;0),Tasks[[#This Row],[_Res4Work]]&gt;0),Tasks[[#This Row],[_Res4Work]]/(Tasks[[#This Row],[_FinishWorkday]]-Tasks[[#This Row],[_StartWorkday]]+1),0)</f>
        <v>0</v>
      </c>
      <c r="EE119" s="42" t="n">
        <f aca="false">Tasks[[#This Row],[_Res4WorkPerWD]]*MAX(0,Tasks[[#This Row],[_StartWorkday]]-1)</f>
        <v>0</v>
      </c>
      <c r="EF119" s="42" t="n">
        <f aca="false">Tasks[[#This Row],[_Res4Work]]*Tasks[[#This Row],[_LeafProgress]]</f>
        <v>0</v>
      </c>
      <c r="EG119" s="42" t="n">
        <f aca="false">IF(ISNUMBER(Tasks[[#This Row],[% Complete]]),Tasks[[#This Row],[% Complete]],IF(Tasks[[#This Row],[Stage]]="",0,IFERROR(INDEX(stg_Pct,MATCH(Tasks[[#This Row],[Stage]],stg_Name,0)),0)))</f>
        <v>0</v>
      </c>
      <c r="EH119" s="42" t="n">
        <f aca="false">IF(NOT(Tasks[[#This Row],[_IsLeaf]]=1),0,IF(N(Tasks[[#This Row],[Actual Finish]])&gt;0,1,MIN(1,Tasks[[#This Row],[_Pct]])))</f>
        <v>0</v>
      </c>
      <c r="EI119" s="42" t="n">
        <f aca="false">IF(OR(NOT(Tasks[[#This Row],[_IsLeaf]]=1),Tasks[[#This Row],[_Res1Row]]=0),0,N(Tasks[[#This Row],[_Days]])*HoursPerDay*IF(Tasks[[#This Row],[_Units1]]="",DefaultUnits,Tasks[[#This Row],[_Units1]]))</f>
        <v>0</v>
      </c>
      <c r="EJ119" s="42" t="n">
        <f aca="false">Tasks[[#This Row],[_LeafWork]]+Tasks[[#This Row],[_Res2Work]]+Tasks[[#This Row],[_Res3Work]]+Tasks[[#This Row],[_Res4Work]]</f>
        <v>0</v>
      </c>
      <c r="EK1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9" s="42" t="n">
        <f aca="false">IF(NOT(Tasks[[#This Row],[_IsLeaf]]=1),0,MAX(_xlfn.MAXIFS(Tasks[_Row],Tasks[_Pred1UID],Tasks[[#This Row],[UID]]),_xlfn.MAXIFS(Tasks[_Row],Tasks[_Pred2UID],Tasks[[#This Row],[UID]]),_xlfn.MAXIFS(Tasks[_Row],Tasks[_Pred3UID],Tasks[[#This Row],[UID]]),_xlfn.MAXIFS(Tasks[_Row],Tasks[_Pred4UID],Tasks[[#This Row],[UID]])))</f>
        <v>0</v>
      </c>
      <c r="ET1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9" s="89" t="str">
        <f aca="false">IF(NOT(Tasks[[#This Row],[_IsLeaf]]=1),"",IF(N(Tasks[[#This Row],[_Days]])&lt;=0,Tasks[[#This Row],[_LeafLateFinish]],WORKDAY.INTL(Tasks[[#This Row],[_LeafLateFinish]],-(Tasks[[#This Row],[_Days]]-1),WorkWeek,Holidays)))</f>
        <v/>
      </c>
      <c r="EW1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9" s="88" t="b">
        <f aca="false">AND(Tasks[[#This Row],[_IsLeaf]]=1,Tasks[[#This Row],[_LeafProgress]]&lt;1,N(Tasks[[#This Row],[_LeafTotalSlack]])&lt;=CriticalSlackDays)</f>
        <v>0</v>
      </c>
      <c r="EY119" s="42" t="n">
        <f aca="false">IF(AND(Tasks[[#This Row],[_IsLeaf]]=1,Tasks[[#This Row],[_ConstraintCode]]=1,Tasks[[#This Row],[Mode]]&lt;&gt;"Manual",N(Tasks[[#This Row],[Actual Start]])=0),MAX(0,N(Tasks[[#This Row],[Free Slack]])),0)</f>
        <v>0</v>
      </c>
      <c r="EZ119" s="89" t="str">
        <f aca="false">IF(NOT(Tasks[[#This Row],[_IsLeaf]]=1),"",IF(Tasks[[#This Row],[_AlapShift]]=0,Tasks[[#This Row],[_LeafCalcStart]],WORKDAY.INTL(Tasks[[#This Row],[_LeafCalcStart]],Tasks[[#This Row],[_AlapShift]],WorkWeek,Holidays)))</f>
        <v/>
      </c>
      <c r="FA119" s="89" t="str">
        <f aca="false">IF(NOT(Tasks[[#This Row],[_IsLeaf]]=1),"",IF(Tasks[[#This Row],[_AlapShift]]=0,Tasks[[#This Row],[_LeafCalcFinish]],WORKDAY.INTL(Tasks[[#This Row],[_LeafCalcFinish]],Tasks[[#This Row],[_AlapShift]],WorkWeek,Holidays)))</f>
        <v/>
      </c>
      <c r="FB119" s="89" t="str">
        <f aca="false">IF(NOT(Tasks[[#This Row],[_IsLeaf]]=1),"",IF(Tasks[[#This Row],[_AlapShift]]=0,Tasks[[#This Row],[_LeafFcstStart]],WORKDAY.INTL(Tasks[[#This Row],[_LeafFcstStart]],Tasks[[#This Row],[_AlapShift]],WorkWeek,Holidays)))</f>
        <v/>
      </c>
      <c r="FC119" s="89" t="str">
        <f aca="false">IF(NOT(Tasks[[#This Row],[_IsLeaf]]=1),"",IF(Tasks[[#This Row],[_AlapShift]]=0,Tasks[[#This Row],[_LeafFcstFinish]],WORKDAY.INTL(Tasks[[#This Row],[_LeafFcstFinish]],Tasks[[#This Row],[_AlapShift]],WorkWeek,Holidays)))</f>
        <v/>
      </c>
      <c r="FD119" s="89" t="str">
        <f aca="false">IF(Tasks[[#This Row],[Task Name]]="","",IF(Tasks[[#This Row],[_IsSummary]],MIN(INDEX(Tasks[_ShownCalcStart],Tasks[[#This Row],[_Row]]+1):INDEX(Tasks[_ShownCalcStart],Tasks[[#This Row],[_Row]]+Tasks[[#This Row],[_Descendants]])),Tasks[[#This Row],[_ShownCalcStart]]))</f>
        <v/>
      </c>
      <c r="FE119" s="89" t="str">
        <f aca="false">IF(Tasks[[#This Row],[Task Name]]="","",IF(Tasks[[#This Row],[_IsSummary]],MAX(INDEX(Tasks[_ShownCalcFinish],Tasks[[#This Row],[_Row]]+1):INDEX(Tasks[_ShownCalcFinish],Tasks[[#This Row],[_Row]]+Tasks[[#This Row],[_Descendants]])),Tasks[[#This Row],[_ShownCalcFinish]]))</f>
        <v/>
      </c>
      <c r="FF1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9" s="42" t="n">
        <f aca="false">IF(AND(Tasks[[#This Row],[_IsLeaf]]=1,Tasks[[#This Row],[_LeafTotalWork]]&gt;0),NETWORKDAYS.INTL(ProjectStart,Tasks[[#This Row],[_ShownFcstStart]],WorkWeek,Holidays),0)</f>
        <v>0</v>
      </c>
      <c r="FS119" s="42" t="n">
        <f aca="false">IF(AND(Tasks[[#This Row],[_IsLeaf]]=1,Tasks[[#This Row],[_LeafTotalWork]]&gt;0),MAX(Tasks[[#This Row],[_StartWorkday]],NETWORKDAYS.INTL(ProjectStart,Tasks[[#This Row],[_ShownFcstFinish]],WorkWeek,Holidays)),0)</f>
        <v>0</v>
      </c>
      <c r="FT119" s="42" t="n">
        <f aca="false">IF(AND(Tasks[[#This Row],[_IsLeaf]]=1,Tasks[[#This Row],[_LeafTotalWork]]&gt;0),Tasks[[#This Row],[_LeafWork]]/(Tasks[[#This Row],[_FinishWorkday]]-Tasks[[#This Row],[_StartWorkday]]+1),0)</f>
        <v>0</v>
      </c>
      <c r="FU119" s="42" t="n">
        <f aca="false">Tasks[[#This Row],[_WorkPerWorkday]]*(Tasks[[#This Row],[_StartWorkday]]-1)</f>
        <v>-0</v>
      </c>
      <c r="FV119" s="42" t="n">
        <f aca="false">IF(Tasks[[#This Row],[_IsLeaf]]=1,MAX(N(Tasks[[#This Row],[_Days]]),0.1),0)</f>
        <v>0</v>
      </c>
      <c r="FW119" s="42" t="n">
        <f aca="false">Tasks[[#This Row],[_WeightDur]]*Tasks[[#This Row],[_LeafProgress]]</f>
        <v>0</v>
      </c>
      <c r="FX119" s="42" t="n">
        <f aca="false">Tasks[[#This Row],[_WeightDur]]*Tasks[[#This Row],[_PlannedPct]]</f>
        <v>0</v>
      </c>
      <c r="FY1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9" s="42" t="str">
        <f aca="false">IF(AND(Tasks[[#This Row],[_IsLeaf]]=1,N(Tasks[[#This Row],[_Days]])=0,Tasks[[#This Row],[_LeafProgress]]&lt;1),Tasks[[#This Row],[_ShownFcstFinish]]+Tasks[[#This Row],[_Row]]/100000,"")</f>
        <v/>
      </c>
      <c r="GA1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9" s="42" t="str">
        <f aca="false">IF(Tasks[[#This Row],[Task Name]]="","",LEFT(Tasks[[#This Row],[WBS]],FIND(".",Tasks[[#This Row],[WBS]]&amp;".")-1))</f>
        <v/>
      </c>
      <c r="GC119" s="42" t="str">
        <f aca="false">IF(AND(Tasks[[#This Row],[Task Name]]&lt;&gt;"",Tasks[[#This Row],[_Level]]=1),Tasks[[#This Row],[_Row]],"")</f>
        <v/>
      </c>
      <c r="GD119" s="42" t="str">
        <f aca="false">IF(AND(Tasks[[#This Row],[_IsLeaf]]=1,N(Tasks[[#This Row],[_Days]])=0),Tasks[[#This Row],[Planned Finish]]+Tasks[[#This Row],[_Row]]/100000,"")</f>
        <v/>
      </c>
      <c r="GE119" s="42" t="str">
        <f aca="false">IF(AND(Tasks[[#This Row],[_IsLeaf]]=1,Tasks[[#This Row],[_LeafProgress]]&lt;1,OR(N(Tasks[[#This Row],[Finish Var]])&gt;0,Tasks[[#This Row],[Status]]="Late Start")),MAX(0,Tasks[[#This Row],[Finish Var]])+1-Tasks[[#This Row],[_Row]]/1000000,"")</f>
        <v/>
      </c>
      <c r="GF119" s="42" t="str">
        <f aca="false">IF(AND(Tasks[[#This Row],[_IsLeaf]]=1,N(Tasks[[#This Row],[Actual Start]])=0,Tasks[[#This Row],[_ShownFcstStart]]&gt;=StatusDate,Tasks[[#This Row],[_ShownFcstStart]]&lt;=LookaheadEnd),Tasks[[#This Row],[_ShownFcstStart]]+Tasks[[#This Row],[_Row]]/100000,"")</f>
        <v/>
      </c>
      <c r="GG119" s="42" t="str">
        <f aca="false">IF(AND(Tasks[[#This Row],[_IsLeaf]]=1,Tasks[[#This Row],[_LeafProgress]]&lt;1,Tasks[[#This Row],[_ShownFcstFinish]]&gt;=StatusDate,Tasks[[#This Row],[_ShownFcstFinish]]&lt;=LookaheadEnd),Tasks[[#This Row],[_ShownFcstFinish]]+Tasks[[#This Row],[_Row]]/100000,"")</f>
        <v/>
      </c>
      <c r="GH119" s="42" t="str">
        <f aca="false">IF(Tasks[[#This Row],[_LeafCritical]],Tasks[[#This Row],[_ShownFcstStart]]+Tasks[[#This Row],[_Row]]/100000,"")</f>
        <v/>
      </c>
      <c r="GI119" s="42" t="n">
        <f aca="false">Tasks[[#This Row],[_LeafWork]]*Tasks[[#This Row],[_LeafProgress]]</f>
        <v>0</v>
      </c>
      <c r="GJ119" s="89" t="str">
        <f aca="false">IF(AND(Tasks[[#This Row],[_IsLeaf]]=1,Tasks[[#This Row],[_LeafProgress]]&gt;=1),IF(N(Tasks[[#This Row],[Actual Finish]])&gt;0,Tasks[[#This Row],[Actual Finish]],Tasks[[#This Row],[_ShownFcstFinish]]),"")</f>
        <v/>
      </c>
      <c r="GK119" s="42" t="n">
        <f aca="false">IF(Tasks[[#This Row],[_IsLeaf]]=1,N(Tasks[[#This Row],[Story Points]]),0)</f>
        <v>0</v>
      </c>
      <c r="GL119" s="42" t="str">
        <f aca="false">""</f>
        <v/>
      </c>
      <c r="GM119" s="88" t="b">
        <f aca="false">IF(Tasks[[#This Row],[Task Name]]="",FALSE(),AND(Tasks[[#This Row],[_IsLeaf]]=1,N(Tasks[[#This Row],[_Days]])=0))</f>
        <v>0</v>
      </c>
      <c r="GN119" s="89" t="n">
        <f aca="false">IF(Tasks[[#This Row],[Task Name]]="",0,IF(AND(Tasks[[#This Row],[_IsLeaf]]=1,NOT(Tasks[[#This Row],[_IsMilestone]]),N(Tasks[[#This Row],[Progress]])&gt;0),Tasks[[#This Row],[Start]],0))</f>
        <v>0</v>
      </c>
      <c r="GO119" s="89" t="n">
        <f aca="false">IF(Tasks[[#This Row],[_DoneFrom]]=0,0,IF(Tasks[[#This Row],[Progress]]&gt;=1,Tasks[[#This Row],[Finish]],MAX(Tasks[[#This Row],[_DoneFrom]],Tasks[[#This Row],[Start]]+ROUND((Tasks[[#This Row],[Finish]]-Tasks[[#This Row],[Start]]+1)*Tasks[[#This Row],[Progress]],0)-1)))</f>
        <v>0</v>
      </c>
      <c r="GP119" s="89" t="n">
        <f aca="false">IF(Tasks[[#This Row],[Task Name]]="",0,IF(OR(NOT(Tasks[[#This Row],[_IsLeaf]]=1),Tasks[[#This Row],[_IsMilestone]],N(Tasks[[#This Row],[Progress]])&gt;=1),0,IF(Tasks[[#This Row],[_DoneTo]]&gt;0,Tasks[[#This Row],[_DoneTo]]+1,Tasks[[#This Row],[Start]])))</f>
        <v>0</v>
      </c>
      <c r="GQ119" s="89" t="n">
        <f aca="false">IF(Tasks[[#This Row],[_RemFrom]]=0,0,Tasks[[#This Row],[Finish]])</f>
        <v>0</v>
      </c>
      <c r="GR119" s="88" t="b">
        <f aca="false">IF(Tasks[[#This Row],[Task Name]]="",FALSE(),OR(NOT(BaselineSet),N(Tasks[[#This Row],[Baseline Start]])&gt;0))</f>
        <v>0</v>
      </c>
      <c r="GS1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9" s="90" t="str">
        <f aca="false">IF(Tasks[[#This Row],[_IsLeaf]]=1,Tasks[[#This Row],[_Row]],"")</f>
        <v/>
      </c>
      <c r="GW119" s="90" t="str">
        <f aca="false">IFERROR(INDEX(Tasks[UID],SMALL(Tasks[_PickKey],Tasks[[#This Row],[_Row]]))&amp;" "&amp;INDEX(Tasks[Task Name],SMALL(Tasks[_PickKey],Tasks[[#This Row],[_Row]])),"")</f>
        <v/>
      </c>
      <c r="GX119" s="42" t="str">
        <f aca="false">IF(Tasks[[#This Row],[Task Name]]="","",IF(Tasks[[#This Row],[_IsSummary]],NETWORKDAYS.INTL(Tasks[[#This Row],[Start]],Tasks[[#This Row],[Finish]],WorkWeek,Holidays),N(Tasks[[#This Row],[_Days]])))</f>
        <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3"/>
      <c r="U120" s="23"/>
      <c r="V120" s="83"/>
      <c r="W120" s="23"/>
      <c r="X120" s="83"/>
      <c r="Y120" s="23"/>
      <c r="Z120" s="83"/>
      <c r="AA120" s="23"/>
      <c r="AB120" s="23"/>
      <c r="AC120" s="7"/>
      <c r="AD120" s="7"/>
      <c r="AE120" s="62" t="str">
        <f aca="false">IF(Tasks[[#This Row],[Task Name]]="","",IF(Tasks[[#This Row],[_IsSummary]],MIN(INDEX(Tasks[_ShownFcstStart],Tasks[[#This Row],[_Row]]+1):INDEX(Tasks[_ShownFcstStart],Tasks[[#This Row],[_Row]]+Tasks[[#This Row],[_Descendants]])),Tasks[[#This Row],[_ShownFcstStart]]))</f>
        <v/>
      </c>
      <c r="AF120" s="62"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0" s="7"/>
      <c r="AK120" s="22"/>
      <c r="AL120" s="23"/>
      <c r="AM120" s="7"/>
      <c r="AN120" s="46"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2" t="str">
        <f aca="false">IF(Tasks[[#This Row],[Task Name]]="","",IF(N(Tasks[[#This Row],[Baseline Start]])&gt;0,Tasks[[#This Row],[Baseline Start]],Tasks[[#This Row],[_CalcStart]]))</f>
        <v/>
      </c>
      <c r="AR120" s="62" t="str">
        <f aca="false">IF(Tasks[[#This Row],[Task Name]]="","",IF(N(Tasks[[#This Row],[Baseline Finish]])&gt;0,Tasks[[#This Row],[Baseline Finish]],Tasks[[#This Row],[_CalcFinish]]))</f>
        <v/>
      </c>
      <c r="AS120" s="46" t="str">
        <f aca="false">IF(Tasks[[#This Row],[Task Name]]="","",IF(Tasks[[#This Row],[Start]]&gt;=Tasks[[#This Row],[Planned Start]],NETWORKDAYS.INTL(Tasks[[#This Row],[Planned Start]],Tasks[[#This Row],[Start]],WorkWeek,Holidays)-1,1-NETWORKDAYS.INTL(Tasks[[#This Row],[Start]],Tasks[[#This Row],[Planned Start]],WorkWeek,Holidays)))</f>
        <v/>
      </c>
      <c r="AT120" s="62" t="str">
        <f aca="false">IF(Tasks[[#This Row],[Task Name]]="","",IF(Tasks[[#This Row],[_IsSummary]],MIN(INDEX(Tasks[_LeafLateStart],Tasks[[#This Row],[_Row]]+1):INDEX(Tasks[_LeafLateStart],Tasks[[#This Row],[_Row]]+Tasks[[#This Row],[_Descendants]])),Tasks[[#This Row],[_LeafLateStart]]))</f>
        <v/>
      </c>
      <c r="AU120" s="62" t="str">
        <f aca="false">IF(Tasks[[#This Row],[Task Name]]="","",IF(Tasks[[#This Row],[_IsSummary]],MAX(INDEX(Tasks[_LeafLateFinish],Tasks[[#This Row],[_Row]]+1):INDEX(Tasks[_LeafLateFinish],Tasks[[#This Row],[_Row]]+Tasks[[#This Row],[_Descendants]])),Tasks[[#This Row],[_LeafLateFinish]]))</f>
        <v/>
      </c>
      <c r="AV120" s="46"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4"/>
      <c r="BA1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5"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6"/>
      <c r="BJ120" s="22"/>
      <c r="BK120" s="46" t="str">
        <f aca="false">IF(OR(Tasks[[#This Row],[Task Name]]="",Tasks[[#This Row],[Baseline Duration]]=""),"",Tasks[[#This Row],[_SpanDays]]-N(Tasks[[#This Row],[Baseline Duration]]))</f>
        <v/>
      </c>
      <c r="BL120" s="85" t="str">
        <f aca="false">IF(OR(Tasks[[#This Row],[Task Name]]="",Tasks[[#This Row],[Baseline Work]]=""),"",Tasks[[#This Row],[Work]]-N(Tasks[[#This Row],[Baseline Work]]))</f>
        <v/>
      </c>
      <c r="BM120" s="62" t="str">
        <f aca="false">IF(Tasks[[#This Row],[Task Name]]="","",IF(OR(TakeBaseline="Yes",N(Tasks[[#This Row],[Baseline Start]])=0),Tasks[[#This Row],[Start]],Tasks[[#This Row],[Baseline Start]]))</f>
        <v/>
      </c>
      <c r="BN120" s="62"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5" t="str">
        <f aca="false">IF(Tasks[[#This Row],[Task Name]]="","",IF(OR(TakeBaseline="Yes",N(Tasks[[#This Row],[Baseline Work]])=0),Tasks[[#This Row],[Work]],Tasks[[#This Row],[Baseline Work]]))</f>
        <v/>
      </c>
      <c r="BQ120" s="7"/>
      <c r="BR120" s="7"/>
      <c r="BS120" s="22"/>
      <c r="BT120" s="87"/>
      <c r="BU120" s="42" t="str">
        <f aca="false">IF(Tasks[[#This Row],[Task Name]]="","",MAX(1,N(Tasks[[#This Row],[Level]])))</f>
        <v/>
      </c>
      <c r="BV120" s="42" t="n">
        <f aca="false">ROW()-ROW(Tasks[[#Headers],[ID]])</f>
        <v>115</v>
      </c>
      <c r="BW120" s="42" t="n">
        <f aca="false">IF(OR(Tasks[[#This Row],[Task Name]]="",Tasks[[#This Row],[_Level]]&lt;=1),0,IFERROR(LOOKUP(2,1/(Tasks[[#Headers],[_Level]]:Tasks[[#This Row],[_Level]]=Tasks[[#This Row],[_Level]]-1),ROW(Tasks[[#Headers],[_Level]]:Tasks[[#This Row],[_Level]])),0))</f>
        <v>0</v>
      </c>
      <c r="BX120" s="42" t="n">
        <f aca="false">IFERROR(N(INDEX(Tasks[_Level],Tasks[[#This Row],[_Row]]+1)),0)</f>
        <v>0</v>
      </c>
      <c r="BY120" s="88" t="b">
        <f aca="false">AND(Tasks[[#This Row],[Task Name]]&lt;&gt;"",Tasks[[#This Row],[_NextLevel]]&gt;Tasks[[#This Row],[_Level]])</f>
        <v>0</v>
      </c>
      <c r="BZ120" s="42" t="n">
        <f aca="false">IF(Tasks[[#This Row],[_IsSummary]],COUNTIF(Tasks[WBS],Tasks[[#This Row],[WBS]]&amp;".*"),0)</f>
        <v>0</v>
      </c>
      <c r="CA120" s="42" t="n">
        <f aca="false">IF(AND(Tasks[[#This Row],[Task Name]]&lt;&gt;"",NOT(Tasks[[#This Row],[_IsSummary]])),1,0)</f>
        <v>0</v>
      </c>
      <c r="CB120" s="42" t="n">
        <f aca="false">IF(N(Tasks[[#This Row],[_Pred1UID]])=0,0,IFERROR(MATCH(Tasks[[#This Row],[_Pred1UID]],Tasks[UID],0),-1))</f>
        <v>0</v>
      </c>
      <c r="CC120" s="42" t="n">
        <f aca="false">IF(N(Tasks[[#This Row],[_Pred2UID]])=0,0,IFERROR(MATCH(Tasks[[#This Row],[_Pred2UID]],Tasks[UID],0),-1))</f>
        <v>0</v>
      </c>
      <c r="CD120" s="42" t="n">
        <f aca="false">IF(N(Tasks[[#This Row],[_Pred3UID]])=0,0,IFERROR(MATCH(Tasks[[#This Row],[_Pred3UID]],Tasks[UID],0),-1))</f>
        <v>0</v>
      </c>
      <c r="CE120" s="42" t="n">
        <f aca="false">IF(N(Tasks[[#This Row],[_Pred4UID]])=0,0,IFERROR(MATCH(Tasks[[#This Row],[_Pred4UID]],Tasks[UID],0),-1))</f>
        <v>0</v>
      </c>
      <c r="CF1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0" s="89" t="n">
        <f aca="false">IF(OR(Tasks[[#This Row],[_ConstraintCode]]=2,Tasks[[#This Row],[_ConstraintCode]]=3,Tasks[[#This Row],[_ConstraintCode]]=4,Tasks[[#This Row],[_ConstraintCode]]=6),Tasks[[#This Row],[_ConstraintStart]],0)</f>
        <v>0</v>
      </c>
      <c r="CI120" s="89" t="n">
        <f aca="false">IF(OR(Tasks[[#This Row],[_ConstraintCode]]=2,Tasks[[#This Row],[_ConstraintCode]]=3,Tasks[[#This Row],[_ConstraintCode]]=5,Tasks[[#This Row],[_ConstraintCode]]=7),Tasks[[#This Row],[_ConstraintStart]],2958465)</f>
        <v>2958465</v>
      </c>
      <c r="CJ1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0" s="89" t="str">
        <f aca="false">IF(NOT(Tasks[[#This Row],[_IsLeaf]]=1),"",IF(N(Tasks[[#This Row],[_Days]])&lt;=0,Tasks[[#This Row],[_LeafCalcStart]],WORKDAY.INTL(Tasks[[#This Row],[_LeafCalcStart]],Tasks[[#This Row],[_Days]]-1,WorkWeek,Holidays)))</f>
        <v/>
      </c>
      <c r="CL1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0" s="42" t="str">
        <f aca="false">IF(Tasks[[#This Row],[_Predecessors]]="","",TRIM(MID(SUBSTITUTE(SUBSTITUTE(SUBSTITUTE(UPPER(Tasks[[#This Row],[_Predecessors]]),";",",")," ",""),",",REPT(" ",99)),1,99)))</f>
        <v/>
      </c>
      <c r="CO120" s="42" t="str">
        <f aca="false">IF(Tasks[[#This Row],[_Pred1Text]]="","",IFERROR(VALUE(LEFT(Tasks[[#This Row],[_Pred1Text]],MIN(FIND("F",Tasks[[#This Row],[_Pred1Text]]&amp;"F"),FIND("S",Tasks[[#This Row],[_Pred1Text]]&amp;"S"),FIND("+",Tasks[[#This Row],[_Pred1Text]]&amp;"+"),FIND("-",Tasks[[#This Row],[_Pred1Text]]&amp;"-"))-1)),""))</f>
        <v/>
      </c>
      <c r="CP1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0" s="42" t="str">
        <f aca="false">IF(Tasks[[#This Row],[_Pred1Text]]="","",TRIM(MID(SUBSTITUTE(SUBSTITUTE(SUBSTITUTE(UPPER(Tasks[[#This Row],[_Predecessors]]),";",",")," ",""),",",REPT(" ",99)),100,99)))</f>
        <v/>
      </c>
      <c r="CS120" s="42" t="str">
        <f aca="false">IF(Tasks[[#This Row],[_Pred2Text]]="","",IFERROR(VALUE(LEFT(Tasks[[#This Row],[_Pred2Text]],MIN(FIND("F",Tasks[[#This Row],[_Pred2Text]]&amp;"F"),FIND("S",Tasks[[#This Row],[_Pred2Text]]&amp;"S"),FIND("+",Tasks[[#This Row],[_Pred2Text]]&amp;"+"),FIND("-",Tasks[[#This Row],[_Pred2Text]]&amp;"-"))-1)),""))</f>
        <v/>
      </c>
      <c r="CT1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0" s="42" t="str">
        <f aca="false">IF(Tasks[[#This Row],[_Pred2Text]]="","",TRIM(MID(SUBSTITUTE(SUBSTITUTE(SUBSTITUTE(UPPER(Tasks[[#This Row],[_Predecessors]]),";",",")," ",""),",",REPT(" ",99)),199,99)))</f>
        <v/>
      </c>
      <c r="CW120" s="42" t="str">
        <f aca="false">IF(Tasks[[#This Row],[_Pred3Text]]="","",IFERROR(VALUE(LEFT(Tasks[[#This Row],[_Pred3Text]],MIN(FIND("F",Tasks[[#This Row],[_Pred3Text]]&amp;"F"),FIND("S",Tasks[[#This Row],[_Pred3Text]]&amp;"S"),FIND("+",Tasks[[#This Row],[_Pred3Text]]&amp;"+"),FIND("-",Tasks[[#This Row],[_Pred3Text]]&amp;"-"))-1)),""))</f>
        <v/>
      </c>
      <c r="CX1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0" s="42" t="str">
        <f aca="false">IF(Tasks[[#This Row],[_Pred3Text]]="","",TRIM(MID(SUBSTITUTE(SUBSTITUTE(SUBSTITUTE(UPPER(Tasks[[#This Row],[_Predecessors]]),";",",")," ",""),",",REPT(" ",99)),298,99)))</f>
        <v/>
      </c>
      <c r="DA120" s="42" t="str">
        <f aca="false">IF(Tasks[[#This Row],[_Pred4Text]]="","",IFERROR(VALUE(LEFT(Tasks[[#This Row],[_Pred4Text]],MIN(FIND("F",Tasks[[#This Row],[_Pred4Text]]&amp;"F"),FIND("S",Tasks[[#This Row],[_Pred4Text]]&amp;"S"),FIND("+",Tasks[[#This Row],[_Pred4Text]]&amp;"+"),FIND("-",Tasks[[#This Row],[_Pred4Text]]&amp;"-"))-1)),""))</f>
        <v/>
      </c>
      <c r="DB1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0" s="42" t="str">
        <f aca="false">IF(OR(Tasks[[#This Row],[Task Name]]="",Tasks[[#This Row],[_Resources]]=""),"",TRIM(MID(SUBSTITUTE(Tasks[[#This Row],[_Resources]],",",REPT(" ",99)),1,99)))</f>
        <v/>
      </c>
      <c r="DE120" s="42" t="str">
        <f aca="false">IF(Tasks[[#This Row],[_Res1Text]]="","",TRIM(MID(SUBSTITUTE(Tasks[[#This Row],[_Resources]],",",REPT(" ",99)),100,99)))</f>
        <v/>
      </c>
      <c r="DF120" s="42" t="str">
        <f aca="false">IF(Tasks[[#This Row],[_Res2Text]]="","",TRIM(MID(SUBSTITUTE(Tasks[[#This Row],[_Resources]],",",REPT(" ",99)),199,99)))</f>
        <v/>
      </c>
      <c r="DG120" s="42" t="str">
        <f aca="false">IF(Tasks[[#This Row],[_Res3Text]]="","",TRIM(MID(SUBSTITUTE(Tasks[[#This Row],[_Resources]],",",REPT(" ",99)),298,99)))</f>
        <v/>
      </c>
      <c r="DH120" s="42" t="n">
        <f aca="false">IF(Tasks[[#This Row],[_Res1Text]]="",0,IFERROR(MATCH(TRIM(LEFT(Tasks[[#This Row],[_Res1Text]],FIND("[",Tasks[[#This Row],[_Res1Text]]&amp;"[")-1)),res_Name,0),IFERROR(MATCH(TRIM(LEFT(Tasks[[#This Row],[_Res1Text]],FIND("[",Tasks[[#This Row],[_Res1Text]]&amp;"[")-1)),res_Initials,0),0)))</f>
        <v>0</v>
      </c>
      <c r="DI120" s="42" t="n">
        <f aca="false">IF(Tasks[[#This Row],[_Res2Text]]="",0,IFERROR(MATCH(TRIM(LEFT(Tasks[[#This Row],[_Res2Text]],FIND("[",Tasks[[#This Row],[_Res2Text]]&amp;"[")-1)),res_Name,0),IFERROR(MATCH(TRIM(LEFT(Tasks[[#This Row],[_Res2Text]],FIND("[",Tasks[[#This Row],[_Res2Text]]&amp;"[")-1)),res_Initials,0),0)))</f>
        <v>0</v>
      </c>
      <c r="DJ120" s="42" t="n">
        <f aca="false">IF(Tasks[[#This Row],[_Res3Text]]="",0,IFERROR(MATCH(TRIM(LEFT(Tasks[[#This Row],[_Res3Text]],FIND("[",Tasks[[#This Row],[_Res3Text]]&amp;"[")-1)),res_Name,0),IFERROR(MATCH(TRIM(LEFT(Tasks[[#This Row],[_Res3Text]],FIND("[",Tasks[[#This Row],[_Res3Text]]&amp;"[")-1)),res_Initials,0),0)))</f>
        <v>0</v>
      </c>
      <c r="DK120" s="42" t="n">
        <f aca="false">IF(Tasks[[#This Row],[_Res4Text]]="",0,IFERROR(MATCH(TRIM(LEFT(Tasks[[#This Row],[_Res4Text]],FIND("[",Tasks[[#This Row],[_Res4Text]]&amp;"[")-1)),res_Name,0),IFERROR(MATCH(TRIM(LEFT(Tasks[[#This Row],[_Res4Text]],FIND("[",Tasks[[#This Row],[_Res4Text]]&amp;"[")-1)),res_Initials,0),0)))</f>
        <v>0</v>
      </c>
      <c r="DL120" s="42" t="str">
        <f aca="false">IF(Tasks[[#This Row],[_Res1Text]]="","",IF(Tasks[[#This Row],[_Res1Row]]&gt;0,INDEX(res_Name,Tasks[[#This Row],[_Res1Row]]),TRIM(LEFT(Tasks[[#This Row],[_Res1Text]],FIND("[",Tasks[[#This Row],[_Res1Text]]&amp;"[")-1))))</f>
        <v/>
      </c>
      <c r="DM1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0" s="42" t="n">
        <f aca="false">IF(NOT(Tasks[[#This Row],[_IsLeaf]]=1),0,(Tasks[[#This Row],[_Resource1]]&lt;&gt;"")+(Tasks[[#This Row],[_Res2]]&lt;&gt;"")+(Tasks[[#This Row],[_Res3]]&lt;&gt;"")+(Tasks[[#This Row],[_Res4]]&lt;&gt;""))</f>
        <v>0</v>
      </c>
      <c r="DO120" s="42" t="str">
        <f aca="false">IF(Tasks[[#This Row],[_Res2Text]]="","",IF(Tasks[[#This Row],[_Res2Row]]&gt;0,INDEX(res_Name,Tasks[[#This Row],[_Res2Row]]),TRIM(LEFT(Tasks[[#This Row],[_Res2Text]],FIND("[",Tasks[[#This Row],[_Res2Text]]&amp;"[")-1))))</f>
        <v/>
      </c>
      <c r="DP1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0" s="42" t="n">
        <f aca="false">IF(OR(NOT(Tasks[[#This Row],[_IsLeaf]]=1),Tasks[[#This Row],[_Res2Row]]=0),0,N(Tasks[[#This Row],[_Days]])*HoursPerDay*IF(Tasks[[#This Row],[_Res2Units]]="",DefaultUnits,Tasks[[#This Row],[_Res2Units]]))</f>
        <v>0</v>
      </c>
      <c r="DR120" s="42" t="n">
        <f aca="false">IF(AND(AND(Tasks[[#This Row],[_IsLeaf]]=1,Tasks[[#This Row],[_LeafTotalWork]]&gt;0),Tasks[[#This Row],[_Res2Work]]&gt;0),Tasks[[#This Row],[_Res2Work]]/(Tasks[[#This Row],[_FinishWorkday]]-Tasks[[#This Row],[_StartWorkday]]+1),0)</f>
        <v>0</v>
      </c>
      <c r="DS120" s="42" t="n">
        <f aca="false">Tasks[[#This Row],[_Res2WorkPerWD]]*MAX(0,Tasks[[#This Row],[_StartWorkday]]-1)</f>
        <v>0</v>
      </c>
      <c r="DT120" s="42" t="n">
        <f aca="false">Tasks[[#This Row],[_Res2Work]]*Tasks[[#This Row],[_LeafProgress]]</f>
        <v>0</v>
      </c>
      <c r="DU120" s="42" t="str">
        <f aca="false">IF(Tasks[[#This Row],[_Res3Text]]="","",IF(Tasks[[#This Row],[_Res3Row]]&gt;0,INDEX(res_Name,Tasks[[#This Row],[_Res3Row]]),TRIM(LEFT(Tasks[[#This Row],[_Res3Text]],FIND("[",Tasks[[#This Row],[_Res3Text]]&amp;"[")-1))))</f>
        <v/>
      </c>
      <c r="DV1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0" s="42" t="n">
        <f aca="false">IF(OR(NOT(Tasks[[#This Row],[_IsLeaf]]=1),Tasks[[#This Row],[_Res3Row]]=0),0,N(Tasks[[#This Row],[_Days]])*HoursPerDay*IF(Tasks[[#This Row],[_Res3Units]]="",DefaultUnits,Tasks[[#This Row],[_Res3Units]]))</f>
        <v>0</v>
      </c>
      <c r="DX120" s="42" t="n">
        <f aca="false">IF(AND(AND(Tasks[[#This Row],[_IsLeaf]]=1,Tasks[[#This Row],[_LeafTotalWork]]&gt;0),Tasks[[#This Row],[_Res3Work]]&gt;0),Tasks[[#This Row],[_Res3Work]]/(Tasks[[#This Row],[_FinishWorkday]]-Tasks[[#This Row],[_StartWorkday]]+1),0)</f>
        <v>0</v>
      </c>
      <c r="DY120" s="42" t="n">
        <f aca="false">Tasks[[#This Row],[_Res3WorkPerWD]]*MAX(0,Tasks[[#This Row],[_StartWorkday]]-1)</f>
        <v>0</v>
      </c>
      <c r="DZ120" s="42" t="n">
        <f aca="false">Tasks[[#This Row],[_Res3Work]]*Tasks[[#This Row],[_LeafProgress]]</f>
        <v>0</v>
      </c>
      <c r="EA120" s="42" t="str">
        <f aca="false">IF(Tasks[[#This Row],[_Res4Text]]="","",IF(Tasks[[#This Row],[_Res4Row]]&gt;0,INDEX(res_Name,Tasks[[#This Row],[_Res4Row]]),TRIM(LEFT(Tasks[[#This Row],[_Res4Text]],FIND("[",Tasks[[#This Row],[_Res4Text]]&amp;"[")-1))))</f>
        <v/>
      </c>
      <c r="EB1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0" s="42" t="n">
        <f aca="false">IF(OR(NOT(Tasks[[#This Row],[_IsLeaf]]=1),Tasks[[#This Row],[_Res4Row]]=0),0,N(Tasks[[#This Row],[_Days]])*HoursPerDay*IF(Tasks[[#This Row],[_Res4Units]]="",DefaultUnits,Tasks[[#This Row],[_Res4Units]]))</f>
        <v>0</v>
      </c>
      <c r="ED120" s="42" t="n">
        <f aca="false">IF(AND(AND(Tasks[[#This Row],[_IsLeaf]]=1,Tasks[[#This Row],[_LeafTotalWork]]&gt;0),Tasks[[#This Row],[_Res4Work]]&gt;0),Tasks[[#This Row],[_Res4Work]]/(Tasks[[#This Row],[_FinishWorkday]]-Tasks[[#This Row],[_StartWorkday]]+1),0)</f>
        <v>0</v>
      </c>
      <c r="EE120" s="42" t="n">
        <f aca="false">Tasks[[#This Row],[_Res4WorkPerWD]]*MAX(0,Tasks[[#This Row],[_StartWorkday]]-1)</f>
        <v>0</v>
      </c>
      <c r="EF120" s="42" t="n">
        <f aca="false">Tasks[[#This Row],[_Res4Work]]*Tasks[[#This Row],[_LeafProgress]]</f>
        <v>0</v>
      </c>
      <c r="EG120" s="42" t="n">
        <f aca="false">IF(ISNUMBER(Tasks[[#This Row],[% Complete]]),Tasks[[#This Row],[% Complete]],IF(Tasks[[#This Row],[Stage]]="",0,IFERROR(INDEX(stg_Pct,MATCH(Tasks[[#This Row],[Stage]],stg_Name,0)),0)))</f>
        <v>0</v>
      </c>
      <c r="EH120" s="42" t="n">
        <f aca="false">IF(NOT(Tasks[[#This Row],[_IsLeaf]]=1),0,IF(N(Tasks[[#This Row],[Actual Finish]])&gt;0,1,MIN(1,Tasks[[#This Row],[_Pct]])))</f>
        <v>0</v>
      </c>
      <c r="EI120" s="42" t="n">
        <f aca="false">IF(OR(NOT(Tasks[[#This Row],[_IsLeaf]]=1),Tasks[[#This Row],[_Res1Row]]=0),0,N(Tasks[[#This Row],[_Days]])*HoursPerDay*IF(Tasks[[#This Row],[_Units1]]="",DefaultUnits,Tasks[[#This Row],[_Units1]]))</f>
        <v>0</v>
      </c>
      <c r="EJ120" s="42" t="n">
        <f aca="false">Tasks[[#This Row],[_LeafWork]]+Tasks[[#This Row],[_Res2Work]]+Tasks[[#This Row],[_Res3Work]]+Tasks[[#This Row],[_Res4Work]]</f>
        <v>0</v>
      </c>
      <c r="EK1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0" s="42" t="n">
        <f aca="false">IF(NOT(Tasks[[#This Row],[_IsLeaf]]=1),0,MAX(_xlfn.MAXIFS(Tasks[_Row],Tasks[_Pred1UID],Tasks[[#This Row],[UID]]),_xlfn.MAXIFS(Tasks[_Row],Tasks[_Pred2UID],Tasks[[#This Row],[UID]]),_xlfn.MAXIFS(Tasks[_Row],Tasks[_Pred3UID],Tasks[[#This Row],[UID]]),_xlfn.MAXIFS(Tasks[_Row],Tasks[_Pred4UID],Tasks[[#This Row],[UID]])))</f>
        <v>0</v>
      </c>
      <c r="ET1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0" s="89" t="str">
        <f aca="false">IF(NOT(Tasks[[#This Row],[_IsLeaf]]=1),"",IF(N(Tasks[[#This Row],[_Days]])&lt;=0,Tasks[[#This Row],[_LeafLateFinish]],WORKDAY.INTL(Tasks[[#This Row],[_LeafLateFinish]],-(Tasks[[#This Row],[_Days]]-1),WorkWeek,Holidays)))</f>
        <v/>
      </c>
      <c r="EW1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0" s="88" t="b">
        <f aca="false">AND(Tasks[[#This Row],[_IsLeaf]]=1,Tasks[[#This Row],[_LeafProgress]]&lt;1,N(Tasks[[#This Row],[_LeafTotalSlack]])&lt;=CriticalSlackDays)</f>
        <v>0</v>
      </c>
      <c r="EY120" s="42" t="n">
        <f aca="false">IF(AND(Tasks[[#This Row],[_IsLeaf]]=1,Tasks[[#This Row],[_ConstraintCode]]=1,Tasks[[#This Row],[Mode]]&lt;&gt;"Manual",N(Tasks[[#This Row],[Actual Start]])=0),MAX(0,N(Tasks[[#This Row],[Free Slack]])),0)</f>
        <v>0</v>
      </c>
      <c r="EZ120" s="89" t="str">
        <f aca="false">IF(NOT(Tasks[[#This Row],[_IsLeaf]]=1),"",IF(Tasks[[#This Row],[_AlapShift]]=0,Tasks[[#This Row],[_LeafCalcStart]],WORKDAY.INTL(Tasks[[#This Row],[_LeafCalcStart]],Tasks[[#This Row],[_AlapShift]],WorkWeek,Holidays)))</f>
        <v/>
      </c>
      <c r="FA120" s="89" t="str">
        <f aca="false">IF(NOT(Tasks[[#This Row],[_IsLeaf]]=1),"",IF(Tasks[[#This Row],[_AlapShift]]=0,Tasks[[#This Row],[_LeafCalcFinish]],WORKDAY.INTL(Tasks[[#This Row],[_LeafCalcFinish]],Tasks[[#This Row],[_AlapShift]],WorkWeek,Holidays)))</f>
        <v/>
      </c>
      <c r="FB120" s="89" t="str">
        <f aca="false">IF(NOT(Tasks[[#This Row],[_IsLeaf]]=1),"",IF(Tasks[[#This Row],[_AlapShift]]=0,Tasks[[#This Row],[_LeafFcstStart]],WORKDAY.INTL(Tasks[[#This Row],[_LeafFcstStart]],Tasks[[#This Row],[_AlapShift]],WorkWeek,Holidays)))</f>
        <v/>
      </c>
      <c r="FC120" s="89" t="str">
        <f aca="false">IF(NOT(Tasks[[#This Row],[_IsLeaf]]=1),"",IF(Tasks[[#This Row],[_AlapShift]]=0,Tasks[[#This Row],[_LeafFcstFinish]],WORKDAY.INTL(Tasks[[#This Row],[_LeafFcstFinish]],Tasks[[#This Row],[_AlapShift]],WorkWeek,Holidays)))</f>
        <v/>
      </c>
      <c r="FD120" s="89" t="str">
        <f aca="false">IF(Tasks[[#This Row],[Task Name]]="","",IF(Tasks[[#This Row],[_IsSummary]],MIN(INDEX(Tasks[_ShownCalcStart],Tasks[[#This Row],[_Row]]+1):INDEX(Tasks[_ShownCalcStart],Tasks[[#This Row],[_Row]]+Tasks[[#This Row],[_Descendants]])),Tasks[[#This Row],[_ShownCalcStart]]))</f>
        <v/>
      </c>
      <c r="FE120" s="89" t="str">
        <f aca="false">IF(Tasks[[#This Row],[Task Name]]="","",IF(Tasks[[#This Row],[_IsSummary]],MAX(INDEX(Tasks[_ShownCalcFinish],Tasks[[#This Row],[_Row]]+1):INDEX(Tasks[_ShownCalcFinish],Tasks[[#This Row],[_Row]]+Tasks[[#This Row],[_Descendants]])),Tasks[[#This Row],[_ShownCalcFinish]]))</f>
        <v/>
      </c>
      <c r="FF1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0" s="42" t="n">
        <f aca="false">IF(AND(Tasks[[#This Row],[_IsLeaf]]=1,Tasks[[#This Row],[_LeafTotalWork]]&gt;0),NETWORKDAYS.INTL(ProjectStart,Tasks[[#This Row],[_ShownFcstStart]],WorkWeek,Holidays),0)</f>
        <v>0</v>
      </c>
      <c r="FS120" s="42" t="n">
        <f aca="false">IF(AND(Tasks[[#This Row],[_IsLeaf]]=1,Tasks[[#This Row],[_LeafTotalWork]]&gt;0),MAX(Tasks[[#This Row],[_StartWorkday]],NETWORKDAYS.INTL(ProjectStart,Tasks[[#This Row],[_ShownFcstFinish]],WorkWeek,Holidays)),0)</f>
        <v>0</v>
      </c>
      <c r="FT120" s="42" t="n">
        <f aca="false">IF(AND(Tasks[[#This Row],[_IsLeaf]]=1,Tasks[[#This Row],[_LeafTotalWork]]&gt;0),Tasks[[#This Row],[_LeafWork]]/(Tasks[[#This Row],[_FinishWorkday]]-Tasks[[#This Row],[_StartWorkday]]+1),0)</f>
        <v>0</v>
      </c>
      <c r="FU120" s="42" t="n">
        <f aca="false">Tasks[[#This Row],[_WorkPerWorkday]]*(Tasks[[#This Row],[_StartWorkday]]-1)</f>
        <v>-0</v>
      </c>
      <c r="FV120" s="42" t="n">
        <f aca="false">IF(Tasks[[#This Row],[_IsLeaf]]=1,MAX(N(Tasks[[#This Row],[_Days]]),0.1),0)</f>
        <v>0</v>
      </c>
      <c r="FW120" s="42" t="n">
        <f aca="false">Tasks[[#This Row],[_WeightDur]]*Tasks[[#This Row],[_LeafProgress]]</f>
        <v>0</v>
      </c>
      <c r="FX120" s="42" t="n">
        <f aca="false">Tasks[[#This Row],[_WeightDur]]*Tasks[[#This Row],[_PlannedPct]]</f>
        <v>0</v>
      </c>
      <c r="FY1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0" s="42" t="str">
        <f aca="false">IF(AND(Tasks[[#This Row],[_IsLeaf]]=1,N(Tasks[[#This Row],[_Days]])=0,Tasks[[#This Row],[_LeafProgress]]&lt;1),Tasks[[#This Row],[_ShownFcstFinish]]+Tasks[[#This Row],[_Row]]/100000,"")</f>
        <v/>
      </c>
      <c r="GA1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0" s="42" t="str">
        <f aca="false">IF(Tasks[[#This Row],[Task Name]]="","",LEFT(Tasks[[#This Row],[WBS]],FIND(".",Tasks[[#This Row],[WBS]]&amp;".")-1))</f>
        <v/>
      </c>
      <c r="GC120" s="42" t="str">
        <f aca="false">IF(AND(Tasks[[#This Row],[Task Name]]&lt;&gt;"",Tasks[[#This Row],[_Level]]=1),Tasks[[#This Row],[_Row]],"")</f>
        <v/>
      </c>
      <c r="GD120" s="42" t="str">
        <f aca="false">IF(AND(Tasks[[#This Row],[_IsLeaf]]=1,N(Tasks[[#This Row],[_Days]])=0),Tasks[[#This Row],[Planned Finish]]+Tasks[[#This Row],[_Row]]/100000,"")</f>
        <v/>
      </c>
      <c r="GE120" s="42" t="str">
        <f aca="false">IF(AND(Tasks[[#This Row],[_IsLeaf]]=1,Tasks[[#This Row],[_LeafProgress]]&lt;1,OR(N(Tasks[[#This Row],[Finish Var]])&gt;0,Tasks[[#This Row],[Status]]="Late Start")),MAX(0,Tasks[[#This Row],[Finish Var]])+1-Tasks[[#This Row],[_Row]]/1000000,"")</f>
        <v/>
      </c>
      <c r="GF120" s="42" t="str">
        <f aca="false">IF(AND(Tasks[[#This Row],[_IsLeaf]]=1,N(Tasks[[#This Row],[Actual Start]])=0,Tasks[[#This Row],[_ShownFcstStart]]&gt;=StatusDate,Tasks[[#This Row],[_ShownFcstStart]]&lt;=LookaheadEnd),Tasks[[#This Row],[_ShownFcstStart]]+Tasks[[#This Row],[_Row]]/100000,"")</f>
        <v/>
      </c>
      <c r="GG120" s="42" t="str">
        <f aca="false">IF(AND(Tasks[[#This Row],[_IsLeaf]]=1,Tasks[[#This Row],[_LeafProgress]]&lt;1,Tasks[[#This Row],[_ShownFcstFinish]]&gt;=StatusDate,Tasks[[#This Row],[_ShownFcstFinish]]&lt;=LookaheadEnd),Tasks[[#This Row],[_ShownFcstFinish]]+Tasks[[#This Row],[_Row]]/100000,"")</f>
        <v/>
      </c>
      <c r="GH120" s="42" t="str">
        <f aca="false">IF(Tasks[[#This Row],[_LeafCritical]],Tasks[[#This Row],[_ShownFcstStart]]+Tasks[[#This Row],[_Row]]/100000,"")</f>
        <v/>
      </c>
      <c r="GI120" s="42" t="n">
        <f aca="false">Tasks[[#This Row],[_LeafWork]]*Tasks[[#This Row],[_LeafProgress]]</f>
        <v>0</v>
      </c>
      <c r="GJ120" s="89" t="str">
        <f aca="false">IF(AND(Tasks[[#This Row],[_IsLeaf]]=1,Tasks[[#This Row],[_LeafProgress]]&gt;=1),IF(N(Tasks[[#This Row],[Actual Finish]])&gt;0,Tasks[[#This Row],[Actual Finish]],Tasks[[#This Row],[_ShownFcstFinish]]),"")</f>
        <v/>
      </c>
      <c r="GK120" s="42" t="n">
        <f aca="false">IF(Tasks[[#This Row],[_IsLeaf]]=1,N(Tasks[[#This Row],[Story Points]]),0)</f>
        <v>0</v>
      </c>
      <c r="GL120" s="42" t="str">
        <f aca="false">""</f>
        <v/>
      </c>
      <c r="GM120" s="88" t="b">
        <f aca="false">IF(Tasks[[#This Row],[Task Name]]="",FALSE(),AND(Tasks[[#This Row],[_IsLeaf]]=1,N(Tasks[[#This Row],[_Days]])=0))</f>
        <v>0</v>
      </c>
      <c r="GN120" s="89" t="n">
        <f aca="false">IF(Tasks[[#This Row],[Task Name]]="",0,IF(AND(Tasks[[#This Row],[_IsLeaf]]=1,NOT(Tasks[[#This Row],[_IsMilestone]]),N(Tasks[[#This Row],[Progress]])&gt;0),Tasks[[#This Row],[Start]],0))</f>
        <v>0</v>
      </c>
      <c r="GO120" s="89" t="n">
        <f aca="false">IF(Tasks[[#This Row],[_DoneFrom]]=0,0,IF(Tasks[[#This Row],[Progress]]&gt;=1,Tasks[[#This Row],[Finish]],MAX(Tasks[[#This Row],[_DoneFrom]],Tasks[[#This Row],[Start]]+ROUND((Tasks[[#This Row],[Finish]]-Tasks[[#This Row],[Start]]+1)*Tasks[[#This Row],[Progress]],0)-1)))</f>
        <v>0</v>
      </c>
      <c r="GP120" s="89" t="n">
        <f aca="false">IF(Tasks[[#This Row],[Task Name]]="",0,IF(OR(NOT(Tasks[[#This Row],[_IsLeaf]]=1),Tasks[[#This Row],[_IsMilestone]],N(Tasks[[#This Row],[Progress]])&gt;=1),0,IF(Tasks[[#This Row],[_DoneTo]]&gt;0,Tasks[[#This Row],[_DoneTo]]+1,Tasks[[#This Row],[Start]])))</f>
        <v>0</v>
      </c>
      <c r="GQ120" s="89" t="n">
        <f aca="false">IF(Tasks[[#This Row],[_RemFrom]]=0,0,Tasks[[#This Row],[Finish]])</f>
        <v>0</v>
      </c>
      <c r="GR120" s="88" t="b">
        <f aca="false">IF(Tasks[[#This Row],[Task Name]]="",FALSE(),OR(NOT(BaselineSet),N(Tasks[[#This Row],[Baseline Start]])&gt;0))</f>
        <v>0</v>
      </c>
      <c r="GS1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0" s="90" t="str">
        <f aca="false">IF(Tasks[[#This Row],[_IsLeaf]]=1,Tasks[[#This Row],[_Row]],"")</f>
        <v/>
      </c>
      <c r="GW120" s="90" t="str">
        <f aca="false">IFERROR(INDEX(Tasks[UID],SMALL(Tasks[_PickKey],Tasks[[#This Row],[_Row]]))&amp;" "&amp;INDEX(Tasks[Task Name],SMALL(Tasks[_PickKey],Tasks[[#This Row],[_Row]])),"")</f>
        <v/>
      </c>
      <c r="GX120" s="42" t="str">
        <f aca="false">IF(Tasks[[#This Row],[Task Name]]="","",IF(Tasks[[#This Row],[_IsSummary]],NETWORKDAYS.INTL(Tasks[[#This Row],[Start]],Tasks[[#This Row],[Finish]],WorkWeek,Holidays),N(Tasks[[#This Row],[_Days]])))</f>
        <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3"/>
      <c r="U121" s="23"/>
      <c r="V121" s="83"/>
      <c r="W121" s="23"/>
      <c r="X121" s="83"/>
      <c r="Y121" s="23"/>
      <c r="Z121" s="83"/>
      <c r="AA121" s="23"/>
      <c r="AB121" s="23"/>
      <c r="AC121" s="7"/>
      <c r="AD121" s="7"/>
      <c r="AE121" s="62" t="str">
        <f aca="false">IF(Tasks[[#This Row],[Task Name]]="","",IF(Tasks[[#This Row],[_IsSummary]],MIN(INDEX(Tasks[_ShownFcstStart],Tasks[[#This Row],[_Row]]+1):INDEX(Tasks[_ShownFcstStart],Tasks[[#This Row],[_Row]]+Tasks[[#This Row],[_Descendants]])),Tasks[[#This Row],[_ShownFcstStart]]))</f>
        <v/>
      </c>
      <c r="AF121" s="62"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1" s="7"/>
      <c r="AK121" s="22"/>
      <c r="AL121" s="23"/>
      <c r="AM121" s="7"/>
      <c r="AN121" s="46"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2" t="str">
        <f aca="false">IF(Tasks[[#This Row],[Task Name]]="","",IF(N(Tasks[[#This Row],[Baseline Start]])&gt;0,Tasks[[#This Row],[Baseline Start]],Tasks[[#This Row],[_CalcStart]]))</f>
        <v/>
      </c>
      <c r="AR121" s="62" t="str">
        <f aca="false">IF(Tasks[[#This Row],[Task Name]]="","",IF(N(Tasks[[#This Row],[Baseline Finish]])&gt;0,Tasks[[#This Row],[Baseline Finish]],Tasks[[#This Row],[_CalcFinish]]))</f>
        <v/>
      </c>
      <c r="AS121" s="46" t="str">
        <f aca="false">IF(Tasks[[#This Row],[Task Name]]="","",IF(Tasks[[#This Row],[Start]]&gt;=Tasks[[#This Row],[Planned Start]],NETWORKDAYS.INTL(Tasks[[#This Row],[Planned Start]],Tasks[[#This Row],[Start]],WorkWeek,Holidays)-1,1-NETWORKDAYS.INTL(Tasks[[#This Row],[Start]],Tasks[[#This Row],[Planned Start]],WorkWeek,Holidays)))</f>
        <v/>
      </c>
      <c r="AT121" s="62" t="str">
        <f aca="false">IF(Tasks[[#This Row],[Task Name]]="","",IF(Tasks[[#This Row],[_IsSummary]],MIN(INDEX(Tasks[_LeafLateStart],Tasks[[#This Row],[_Row]]+1):INDEX(Tasks[_LeafLateStart],Tasks[[#This Row],[_Row]]+Tasks[[#This Row],[_Descendants]])),Tasks[[#This Row],[_LeafLateStart]]))</f>
        <v/>
      </c>
      <c r="AU121" s="62" t="str">
        <f aca="false">IF(Tasks[[#This Row],[Task Name]]="","",IF(Tasks[[#This Row],[_IsSummary]],MAX(INDEX(Tasks[_LeafLateFinish],Tasks[[#This Row],[_Row]]+1):INDEX(Tasks[_LeafLateFinish],Tasks[[#This Row],[_Row]]+Tasks[[#This Row],[_Descendants]])),Tasks[[#This Row],[_LeafLateFinish]]))</f>
        <v/>
      </c>
      <c r="AV121" s="46"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4"/>
      <c r="BA1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5"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6"/>
      <c r="BJ121" s="22"/>
      <c r="BK121" s="46" t="str">
        <f aca="false">IF(OR(Tasks[[#This Row],[Task Name]]="",Tasks[[#This Row],[Baseline Duration]]=""),"",Tasks[[#This Row],[_SpanDays]]-N(Tasks[[#This Row],[Baseline Duration]]))</f>
        <v/>
      </c>
      <c r="BL121" s="85" t="str">
        <f aca="false">IF(OR(Tasks[[#This Row],[Task Name]]="",Tasks[[#This Row],[Baseline Work]]=""),"",Tasks[[#This Row],[Work]]-N(Tasks[[#This Row],[Baseline Work]]))</f>
        <v/>
      </c>
      <c r="BM121" s="62" t="str">
        <f aca="false">IF(Tasks[[#This Row],[Task Name]]="","",IF(OR(TakeBaseline="Yes",N(Tasks[[#This Row],[Baseline Start]])=0),Tasks[[#This Row],[Start]],Tasks[[#This Row],[Baseline Start]]))</f>
        <v/>
      </c>
      <c r="BN121" s="62"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5" t="str">
        <f aca="false">IF(Tasks[[#This Row],[Task Name]]="","",IF(OR(TakeBaseline="Yes",N(Tasks[[#This Row],[Baseline Work]])=0),Tasks[[#This Row],[Work]],Tasks[[#This Row],[Baseline Work]]))</f>
        <v/>
      </c>
      <c r="BQ121" s="7"/>
      <c r="BR121" s="7"/>
      <c r="BS121" s="22"/>
      <c r="BT121" s="87"/>
      <c r="BU121" s="42" t="str">
        <f aca="false">IF(Tasks[[#This Row],[Task Name]]="","",MAX(1,N(Tasks[[#This Row],[Level]])))</f>
        <v/>
      </c>
      <c r="BV121" s="42" t="n">
        <f aca="false">ROW()-ROW(Tasks[[#Headers],[ID]])</f>
        <v>116</v>
      </c>
      <c r="BW121" s="42" t="n">
        <f aca="false">IF(OR(Tasks[[#This Row],[Task Name]]="",Tasks[[#This Row],[_Level]]&lt;=1),0,IFERROR(LOOKUP(2,1/(Tasks[[#Headers],[_Level]]:Tasks[[#This Row],[_Level]]=Tasks[[#This Row],[_Level]]-1),ROW(Tasks[[#Headers],[_Level]]:Tasks[[#This Row],[_Level]])),0))</f>
        <v>0</v>
      </c>
      <c r="BX121" s="42" t="n">
        <f aca="false">IFERROR(N(INDEX(Tasks[_Level],Tasks[[#This Row],[_Row]]+1)),0)</f>
        <v>0</v>
      </c>
      <c r="BY121" s="88" t="b">
        <f aca="false">AND(Tasks[[#This Row],[Task Name]]&lt;&gt;"",Tasks[[#This Row],[_NextLevel]]&gt;Tasks[[#This Row],[_Level]])</f>
        <v>0</v>
      </c>
      <c r="BZ121" s="42" t="n">
        <f aca="false">IF(Tasks[[#This Row],[_IsSummary]],COUNTIF(Tasks[WBS],Tasks[[#This Row],[WBS]]&amp;".*"),0)</f>
        <v>0</v>
      </c>
      <c r="CA121" s="42" t="n">
        <f aca="false">IF(AND(Tasks[[#This Row],[Task Name]]&lt;&gt;"",NOT(Tasks[[#This Row],[_IsSummary]])),1,0)</f>
        <v>0</v>
      </c>
      <c r="CB121" s="42" t="n">
        <f aca="false">IF(N(Tasks[[#This Row],[_Pred1UID]])=0,0,IFERROR(MATCH(Tasks[[#This Row],[_Pred1UID]],Tasks[UID],0),-1))</f>
        <v>0</v>
      </c>
      <c r="CC121" s="42" t="n">
        <f aca="false">IF(N(Tasks[[#This Row],[_Pred2UID]])=0,0,IFERROR(MATCH(Tasks[[#This Row],[_Pred2UID]],Tasks[UID],0),-1))</f>
        <v>0</v>
      </c>
      <c r="CD121" s="42" t="n">
        <f aca="false">IF(N(Tasks[[#This Row],[_Pred3UID]])=0,0,IFERROR(MATCH(Tasks[[#This Row],[_Pred3UID]],Tasks[UID],0),-1))</f>
        <v>0</v>
      </c>
      <c r="CE121" s="42" t="n">
        <f aca="false">IF(N(Tasks[[#This Row],[_Pred4UID]])=0,0,IFERROR(MATCH(Tasks[[#This Row],[_Pred4UID]],Tasks[UID],0),-1))</f>
        <v>0</v>
      </c>
      <c r="CF1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1" s="89" t="n">
        <f aca="false">IF(OR(Tasks[[#This Row],[_ConstraintCode]]=2,Tasks[[#This Row],[_ConstraintCode]]=3,Tasks[[#This Row],[_ConstraintCode]]=4,Tasks[[#This Row],[_ConstraintCode]]=6),Tasks[[#This Row],[_ConstraintStart]],0)</f>
        <v>0</v>
      </c>
      <c r="CI121" s="89" t="n">
        <f aca="false">IF(OR(Tasks[[#This Row],[_ConstraintCode]]=2,Tasks[[#This Row],[_ConstraintCode]]=3,Tasks[[#This Row],[_ConstraintCode]]=5,Tasks[[#This Row],[_ConstraintCode]]=7),Tasks[[#This Row],[_ConstraintStart]],2958465)</f>
        <v>2958465</v>
      </c>
      <c r="CJ1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1" s="89" t="str">
        <f aca="false">IF(NOT(Tasks[[#This Row],[_IsLeaf]]=1),"",IF(N(Tasks[[#This Row],[_Days]])&lt;=0,Tasks[[#This Row],[_LeafCalcStart]],WORKDAY.INTL(Tasks[[#This Row],[_LeafCalcStart]],Tasks[[#This Row],[_Days]]-1,WorkWeek,Holidays)))</f>
        <v/>
      </c>
      <c r="CL1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1" s="42" t="str">
        <f aca="false">IF(Tasks[[#This Row],[_Predecessors]]="","",TRIM(MID(SUBSTITUTE(SUBSTITUTE(SUBSTITUTE(UPPER(Tasks[[#This Row],[_Predecessors]]),";",",")," ",""),",",REPT(" ",99)),1,99)))</f>
        <v/>
      </c>
      <c r="CO121" s="42" t="str">
        <f aca="false">IF(Tasks[[#This Row],[_Pred1Text]]="","",IFERROR(VALUE(LEFT(Tasks[[#This Row],[_Pred1Text]],MIN(FIND("F",Tasks[[#This Row],[_Pred1Text]]&amp;"F"),FIND("S",Tasks[[#This Row],[_Pred1Text]]&amp;"S"),FIND("+",Tasks[[#This Row],[_Pred1Text]]&amp;"+"),FIND("-",Tasks[[#This Row],[_Pred1Text]]&amp;"-"))-1)),""))</f>
        <v/>
      </c>
      <c r="CP1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1" s="42" t="str">
        <f aca="false">IF(Tasks[[#This Row],[_Pred1Text]]="","",TRIM(MID(SUBSTITUTE(SUBSTITUTE(SUBSTITUTE(UPPER(Tasks[[#This Row],[_Predecessors]]),";",",")," ",""),",",REPT(" ",99)),100,99)))</f>
        <v/>
      </c>
      <c r="CS121" s="42" t="str">
        <f aca="false">IF(Tasks[[#This Row],[_Pred2Text]]="","",IFERROR(VALUE(LEFT(Tasks[[#This Row],[_Pred2Text]],MIN(FIND("F",Tasks[[#This Row],[_Pred2Text]]&amp;"F"),FIND("S",Tasks[[#This Row],[_Pred2Text]]&amp;"S"),FIND("+",Tasks[[#This Row],[_Pred2Text]]&amp;"+"),FIND("-",Tasks[[#This Row],[_Pred2Text]]&amp;"-"))-1)),""))</f>
        <v/>
      </c>
      <c r="CT1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1" s="42" t="str">
        <f aca="false">IF(Tasks[[#This Row],[_Pred2Text]]="","",TRIM(MID(SUBSTITUTE(SUBSTITUTE(SUBSTITUTE(UPPER(Tasks[[#This Row],[_Predecessors]]),";",",")," ",""),",",REPT(" ",99)),199,99)))</f>
        <v/>
      </c>
      <c r="CW121" s="42" t="str">
        <f aca="false">IF(Tasks[[#This Row],[_Pred3Text]]="","",IFERROR(VALUE(LEFT(Tasks[[#This Row],[_Pred3Text]],MIN(FIND("F",Tasks[[#This Row],[_Pred3Text]]&amp;"F"),FIND("S",Tasks[[#This Row],[_Pred3Text]]&amp;"S"),FIND("+",Tasks[[#This Row],[_Pred3Text]]&amp;"+"),FIND("-",Tasks[[#This Row],[_Pred3Text]]&amp;"-"))-1)),""))</f>
        <v/>
      </c>
      <c r="CX1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1" s="42" t="str">
        <f aca="false">IF(Tasks[[#This Row],[_Pred3Text]]="","",TRIM(MID(SUBSTITUTE(SUBSTITUTE(SUBSTITUTE(UPPER(Tasks[[#This Row],[_Predecessors]]),";",",")," ",""),",",REPT(" ",99)),298,99)))</f>
        <v/>
      </c>
      <c r="DA121" s="42" t="str">
        <f aca="false">IF(Tasks[[#This Row],[_Pred4Text]]="","",IFERROR(VALUE(LEFT(Tasks[[#This Row],[_Pred4Text]],MIN(FIND("F",Tasks[[#This Row],[_Pred4Text]]&amp;"F"),FIND("S",Tasks[[#This Row],[_Pred4Text]]&amp;"S"),FIND("+",Tasks[[#This Row],[_Pred4Text]]&amp;"+"),FIND("-",Tasks[[#This Row],[_Pred4Text]]&amp;"-"))-1)),""))</f>
        <v/>
      </c>
      <c r="DB1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1" s="42" t="str">
        <f aca="false">IF(OR(Tasks[[#This Row],[Task Name]]="",Tasks[[#This Row],[_Resources]]=""),"",TRIM(MID(SUBSTITUTE(Tasks[[#This Row],[_Resources]],",",REPT(" ",99)),1,99)))</f>
        <v/>
      </c>
      <c r="DE121" s="42" t="str">
        <f aca="false">IF(Tasks[[#This Row],[_Res1Text]]="","",TRIM(MID(SUBSTITUTE(Tasks[[#This Row],[_Resources]],",",REPT(" ",99)),100,99)))</f>
        <v/>
      </c>
      <c r="DF121" s="42" t="str">
        <f aca="false">IF(Tasks[[#This Row],[_Res2Text]]="","",TRIM(MID(SUBSTITUTE(Tasks[[#This Row],[_Resources]],",",REPT(" ",99)),199,99)))</f>
        <v/>
      </c>
      <c r="DG121" s="42" t="str">
        <f aca="false">IF(Tasks[[#This Row],[_Res3Text]]="","",TRIM(MID(SUBSTITUTE(Tasks[[#This Row],[_Resources]],",",REPT(" ",99)),298,99)))</f>
        <v/>
      </c>
      <c r="DH121" s="42" t="n">
        <f aca="false">IF(Tasks[[#This Row],[_Res1Text]]="",0,IFERROR(MATCH(TRIM(LEFT(Tasks[[#This Row],[_Res1Text]],FIND("[",Tasks[[#This Row],[_Res1Text]]&amp;"[")-1)),res_Name,0),IFERROR(MATCH(TRIM(LEFT(Tasks[[#This Row],[_Res1Text]],FIND("[",Tasks[[#This Row],[_Res1Text]]&amp;"[")-1)),res_Initials,0),0)))</f>
        <v>0</v>
      </c>
      <c r="DI121" s="42" t="n">
        <f aca="false">IF(Tasks[[#This Row],[_Res2Text]]="",0,IFERROR(MATCH(TRIM(LEFT(Tasks[[#This Row],[_Res2Text]],FIND("[",Tasks[[#This Row],[_Res2Text]]&amp;"[")-1)),res_Name,0),IFERROR(MATCH(TRIM(LEFT(Tasks[[#This Row],[_Res2Text]],FIND("[",Tasks[[#This Row],[_Res2Text]]&amp;"[")-1)),res_Initials,0),0)))</f>
        <v>0</v>
      </c>
      <c r="DJ121" s="42" t="n">
        <f aca="false">IF(Tasks[[#This Row],[_Res3Text]]="",0,IFERROR(MATCH(TRIM(LEFT(Tasks[[#This Row],[_Res3Text]],FIND("[",Tasks[[#This Row],[_Res3Text]]&amp;"[")-1)),res_Name,0),IFERROR(MATCH(TRIM(LEFT(Tasks[[#This Row],[_Res3Text]],FIND("[",Tasks[[#This Row],[_Res3Text]]&amp;"[")-1)),res_Initials,0),0)))</f>
        <v>0</v>
      </c>
      <c r="DK121" s="42" t="n">
        <f aca="false">IF(Tasks[[#This Row],[_Res4Text]]="",0,IFERROR(MATCH(TRIM(LEFT(Tasks[[#This Row],[_Res4Text]],FIND("[",Tasks[[#This Row],[_Res4Text]]&amp;"[")-1)),res_Name,0),IFERROR(MATCH(TRIM(LEFT(Tasks[[#This Row],[_Res4Text]],FIND("[",Tasks[[#This Row],[_Res4Text]]&amp;"[")-1)),res_Initials,0),0)))</f>
        <v>0</v>
      </c>
      <c r="DL121" s="42" t="str">
        <f aca="false">IF(Tasks[[#This Row],[_Res1Text]]="","",IF(Tasks[[#This Row],[_Res1Row]]&gt;0,INDEX(res_Name,Tasks[[#This Row],[_Res1Row]]),TRIM(LEFT(Tasks[[#This Row],[_Res1Text]],FIND("[",Tasks[[#This Row],[_Res1Text]]&amp;"[")-1))))</f>
        <v/>
      </c>
      <c r="DM1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1" s="42" t="n">
        <f aca="false">IF(NOT(Tasks[[#This Row],[_IsLeaf]]=1),0,(Tasks[[#This Row],[_Resource1]]&lt;&gt;"")+(Tasks[[#This Row],[_Res2]]&lt;&gt;"")+(Tasks[[#This Row],[_Res3]]&lt;&gt;"")+(Tasks[[#This Row],[_Res4]]&lt;&gt;""))</f>
        <v>0</v>
      </c>
      <c r="DO121" s="42" t="str">
        <f aca="false">IF(Tasks[[#This Row],[_Res2Text]]="","",IF(Tasks[[#This Row],[_Res2Row]]&gt;0,INDEX(res_Name,Tasks[[#This Row],[_Res2Row]]),TRIM(LEFT(Tasks[[#This Row],[_Res2Text]],FIND("[",Tasks[[#This Row],[_Res2Text]]&amp;"[")-1))))</f>
        <v/>
      </c>
      <c r="DP1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1" s="42" t="n">
        <f aca="false">IF(OR(NOT(Tasks[[#This Row],[_IsLeaf]]=1),Tasks[[#This Row],[_Res2Row]]=0),0,N(Tasks[[#This Row],[_Days]])*HoursPerDay*IF(Tasks[[#This Row],[_Res2Units]]="",DefaultUnits,Tasks[[#This Row],[_Res2Units]]))</f>
        <v>0</v>
      </c>
      <c r="DR121" s="42" t="n">
        <f aca="false">IF(AND(AND(Tasks[[#This Row],[_IsLeaf]]=1,Tasks[[#This Row],[_LeafTotalWork]]&gt;0),Tasks[[#This Row],[_Res2Work]]&gt;0),Tasks[[#This Row],[_Res2Work]]/(Tasks[[#This Row],[_FinishWorkday]]-Tasks[[#This Row],[_StartWorkday]]+1),0)</f>
        <v>0</v>
      </c>
      <c r="DS121" s="42" t="n">
        <f aca="false">Tasks[[#This Row],[_Res2WorkPerWD]]*MAX(0,Tasks[[#This Row],[_StartWorkday]]-1)</f>
        <v>0</v>
      </c>
      <c r="DT121" s="42" t="n">
        <f aca="false">Tasks[[#This Row],[_Res2Work]]*Tasks[[#This Row],[_LeafProgress]]</f>
        <v>0</v>
      </c>
      <c r="DU121" s="42" t="str">
        <f aca="false">IF(Tasks[[#This Row],[_Res3Text]]="","",IF(Tasks[[#This Row],[_Res3Row]]&gt;0,INDEX(res_Name,Tasks[[#This Row],[_Res3Row]]),TRIM(LEFT(Tasks[[#This Row],[_Res3Text]],FIND("[",Tasks[[#This Row],[_Res3Text]]&amp;"[")-1))))</f>
        <v/>
      </c>
      <c r="DV1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1" s="42" t="n">
        <f aca="false">IF(OR(NOT(Tasks[[#This Row],[_IsLeaf]]=1),Tasks[[#This Row],[_Res3Row]]=0),0,N(Tasks[[#This Row],[_Days]])*HoursPerDay*IF(Tasks[[#This Row],[_Res3Units]]="",DefaultUnits,Tasks[[#This Row],[_Res3Units]]))</f>
        <v>0</v>
      </c>
      <c r="DX121" s="42" t="n">
        <f aca="false">IF(AND(AND(Tasks[[#This Row],[_IsLeaf]]=1,Tasks[[#This Row],[_LeafTotalWork]]&gt;0),Tasks[[#This Row],[_Res3Work]]&gt;0),Tasks[[#This Row],[_Res3Work]]/(Tasks[[#This Row],[_FinishWorkday]]-Tasks[[#This Row],[_StartWorkday]]+1),0)</f>
        <v>0</v>
      </c>
      <c r="DY121" s="42" t="n">
        <f aca="false">Tasks[[#This Row],[_Res3WorkPerWD]]*MAX(0,Tasks[[#This Row],[_StartWorkday]]-1)</f>
        <v>0</v>
      </c>
      <c r="DZ121" s="42" t="n">
        <f aca="false">Tasks[[#This Row],[_Res3Work]]*Tasks[[#This Row],[_LeafProgress]]</f>
        <v>0</v>
      </c>
      <c r="EA121" s="42" t="str">
        <f aca="false">IF(Tasks[[#This Row],[_Res4Text]]="","",IF(Tasks[[#This Row],[_Res4Row]]&gt;0,INDEX(res_Name,Tasks[[#This Row],[_Res4Row]]),TRIM(LEFT(Tasks[[#This Row],[_Res4Text]],FIND("[",Tasks[[#This Row],[_Res4Text]]&amp;"[")-1))))</f>
        <v/>
      </c>
      <c r="EB1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1" s="42" t="n">
        <f aca="false">IF(OR(NOT(Tasks[[#This Row],[_IsLeaf]]=1),Tasks[[#This Row],[_Res4Row]]=0),0,N(Tasks[[#This Row],[_Days]])*HoursPerDay*IF(Tasks[[#This Row],[_Res4Units]]="",DefaultUnits,Tasks[[#This Row],[_Res4Units]]))</f>
        <v>0</v>
      </c>
      <c r="ED121" s="42" t="n">
        <f aca="false">IF(AND(AND(Tasks[[#This Row],[_IsLeaf]]=1,Tasks[[#This Row],[_LeafTotalWork]]&gt;0),Tasks[[#This Row],[_Res4Work]]&gt;0),Tasks[[#This Row],[_Res4Work]]/(Tasks[[#This Row],[_FinishWorkday]]-Tasks[[#This Row],[_StartWorkday]]+1),0)</f>
        <v>0</v>
      </c>
      <c r="EE121" s="42" t="n">
        <f aca="false">Tasks[[#This Row],[_Res4WorkPerWD]]*MAX(0,Tasks[[#This Row],[_StartWorkday]]-1)</f>
        <v>0</v>
      </c>
      <c r="EF121" s="42" t="n">
        <f aca="false">Tasks[[#This Row],[_Res4Work]]*Tasks[[#This Row],[_LeafProgress]]</f>
        <v>0</v>
      </c>
      <c r="EG121" s="42" t="n">
        <f aca="false">IF(ISNUMBER(Tasks[[#This Row],[% Complete]]),Tasks[[#This Row],[% Complete]],IF(Tasks[[#This Row],[Stage]]="",0,IFERROR(INDEX(stg_Pct,MATCH(Tasks[[#This Row],[Stage]],stg_Name,0)),0)))</f>
        <v>0</v>
      </c>
      <c r="EH121" s="42" t="n">
        <f aca="false">IF(NOT(Tasks[[#This Row],[_IsLeaf]]=1),0,IF(N(Tasks[[#This Row],[Actual Finish]])&gt;0,1,MIN(1,Tasks[[#This Row],[_Pct]])))</f>
        <v>0</v>
      </c>
      <c r="EI121" s="42" t="n">
        <f aca="false">IF(OR(NOT(Tasks[[#This Row],[_IsLeaf]]=1),Tasks[[#This Row],[_Res1Row]]=0),0,N(Tasks[[#This Row],[_Days]])*HoursPerDay*IF(Tasks[[#This Row],[_Units1]]="",DefaultUnits,Tasks[[#This Row],[_Units1]]))</f>
        <v>0</v>
      </c>
      <c r="EJ121" s="42" t="n">
        <f aca="false">Tasks[[#This Row],[_LeafWork]]+Tasks[[#This Row],[_Res2Work]]+Tasks[[#This Row],[_Res3Work]]+Tasks[[#This Row],[_Res4Work]]</f>
        <v>0</v>
      </c>
      <c r="EK1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1" s="42" t="n">
        <f aca="false">IF(NOT(Tasks[[#This Row],[_IsLeaf]]=1),0,MAX(_xlfn.MAXIFS(Tasks[_Row],Tasks[_Pred1UID],Tasks[[#This Row],[UID]]),_xlfn.MAXIFS(Tasks[_Row],Tasks[_Pred2UID],Tasks[[#This Row],[UID]]),_xlfn.MAXIFS(Tasks[_Row],Tasks[_Pred3UID],Tasks[[#This Row],[UID]]),_xlfn.MAXIFS(Tasks[_Row],Tasks[_Pred4UID],Tasks[[#This Row],[UID]])))</f>
        <v>0</v>
      </c>
      <c r="ET1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1" s="89" t="str">
        <f aca="false">IF(NOT(Tasks[[#This Row],[_IsLeaf]]=1),"",IF(N(Tasks[[#This Row],[_Days]])&lt;=0,Tasks[[#This Row],[_LeafLateFinish]],WORKDAY.INTL(Tasks[[#This Row],[_LeafLateFinish]],-(Tasks[[#This Row],[_Days]]-1),WorkWeek,Holidays)))</f>
        <v/>
      </c>
      <c r="EW1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1" s="88" t="b">
        <f aca="false">AND(Tasks[[#This Row],[_IsLeaf]]=1,Tasks[[#This Row],[_LeafProgress]]&lt;1,N(Tasks[[#This Row],[_LeafTotalSlack]])&lt;=CriticalSlackDays)</f>
        <v>0</v>
      </c>
      <c r="EY121" s="42" t="n">
        <f aca="false">IF(AND(Tasks[[#This Row],[_IsLeaf]]=1,Tasks[[#This Row],[_ConstraintCode]]=1,Tasks[[#This Row],[Mode]]&lt;&gt;"Manual",N(Tasks[[#This Row],[Actual Start]])=0),MAX(0,N(Tasks[[#This Row],[Free Slack]])),0)</f>
        <v>0</v>
      </c>
      <c r="EZ121" s="89" t="str">
        <f aca="false">IF(NOT(Tasks[[#This Row],[_IsLeaf]]=1),"",IF(Tasks[[#This Row],[_AlapShift]]=0,Tasks[[#This Row],[_LeafCalcStart]],WORKDAY.INTL(Tasks[[#This Row],[_LeafCalcStart]],Tasks[[#This Row],[_AlapShift]],WorkWeek,Holidays)))</f>
        <v/>
      </c>
      <c r="FA121" s="89" t="str">
        <f aca="false">IF(NOT(Tasks[[#This Row],[_IsLeaf]]=1),"",IF(Tasks[[#This Row],[_AlapShift]]=0,Tasks[[#This Row],[_LeafCalcFinish]],WORKDAY.INTL(Tasks[[#This Row],[_LeafCalcFinish]],Tasks[[#This Row],[_AlapShift]],WorkWeek,Holidays)))</f>
        <v/>
      </c>
      <c r="FB121" s="89" t="str">
        <f aca="false">IF(NOT(Tasks[[#This Row],[_IsLeaf]]=1),"",IF(Tasks[[#This Row],[_AlapShift]]=0,Tasks[[#This Row],[_LeafFcstStart]],WORKDAY.INTL(Tasks[[#This Row],[_LeafFcstStart]],Tasks[[#This Row],[_AlapShift]],WorkWeek,Holidays)))</f>
        <v/>
      </c>
      <c r="FC121" s="89" t="str">
        <f aca="false">IF(NOT(Tasks[[#This Row],[_IsLeaf]]=1),"",IF(Tasks[[#This Row],[_AlapShift]]=0,Tasks[[#This Row],[_LeafFcstFinish]],WORKDAY.INTL(Tasks[[#This Row],[_LeafFcstFinish]],Tasks[[#This Row],[_AlapShift]],WorkWeek,Holidays)))</f>
        <v/>
      </c>
      <c r="FD121" s="89" t="str">
        <f aca="false">IF(Tasks[[#This Row],[Task Name]]="","",IF(Tasks[[#This Row],[_IsSummary]],MIN(INDEX(Tasks[_ShownCalcStart],Tasks[[#This Row],[_Row]]+1):INDEX(Tasks[_ShownCalcStart],Tasks[[#This Row],[_Row]]+Tasks[[#This Row],[_Descendants]])),Tasks[[#This Row],[_ShownCalcStart]]))</f>
        <v/>
      </c>
      <c r="FE121" s="89" t="str">
        <f aca="false">IF(Tasks[[#This Row],[Task Name]]="","",IF(Tasks[[#This Row],[_IsSummary]],MAX(INDEX(Tasks[_ShownCalcFinish],Tasks[[#This Row],[_Row]]+1):INDEX(Tasks[_ShownCalcFinish],Tasks[[#This Row],[_Row]]+Tasks[[#This Row],[_Descendants]])),Tasks[[#This Row],[_ShownCalcFinish]]))</f>
        <v/>
      </c>
      <c r="FF1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1" s="42" t="n">
        <f aca="false">IF(AND(Tasks[[#This Row],[_IsLeaf]]=1,Tasks[[#This Row],[_LeafTotalWork]]&gt;0),NETWORKDAYS.INTL(ProjectStart,Tasks[[#This Row],[_ShownFcstStart]],WorkWeek,Holidays),0)</f>
        <v>0</v>
      </c>
      <c r="FS121" s="42" t="n">
        <f aca="false">IF(AND(Tasks[[#This Row],[_IsLeaf]]=1,Tasks[[#This Row],[_LeafTotalWork]]&gt;0),MAX(Tasks[[#This Row],[_StartWorkday]],NETWORKDAYS.INTL(ProjectStart,Tasks[[#This Row],[_ShownFcstFinish]],WorkWeek,Holidays)),0)</f>
        <v>0</v>
      </c>
      <c r="FT121" s="42" t="n">
        <f aca="false">IF(AND(Tasks[[#This Row],[_IsLeaf]]=1,Tasks[[#This Row],[_LeafTotalWork]]&gt;0),Tasks[[#This Row],[_LeafWork]]/(Tasks[[#This Row],[_FinishWorkday]]-Tasks[[#This Row],[_StartWorkday]]+1),0)</f>
        <v>0</v>
      </c>
      <c r="FU121" s="42" t="n">
        <f aca="false">Tasks[[#This Row],[_WorkPerWorkday]]*(Tasks[[#This Row],[_StartWorkday]]-1)</f>
        <v>-0</v>
      </c>
      <c r="FV121" s="42" t="n">
        <f aca="false">IF(Tasks[[#This Row],[_IsLeaf]]=1,MAX(N(Tasks[[#This Row],[_Days]]),0.1),0)</f>
        <v>0</v>
      </c>
      <c r="FW121" s="42" t="n">
        <f aca="false">Tasks[[#This Row],[_WeightDur]]*Tasks[[#This Row],[_LeafProgress]]</f>
        <v>0</v>
      </c>
      <c r="FX121" s="42" t="n">
        <f aca="false">Tasks[[#This Row],[_WeightDur]]*Tasks[[#This Row],[_PlannedPct]]</f>
        <v>0</v>
      </c>
      <c r="FY1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1" s="42" t="str">
        <f aca="false">IF(AND(Tasks[[#This Row],[_IsLeaf]]=1,N(Tasks[[#This Row],[_Days]])=0,Tasks[[#This Row],[_LeafProgress]]&lt;1),Tasks[[#This Row],[_ShownFcstFinish]]+Tasks[[#This Row],[_Row]]/100000,"")</f>
        <v/>
      </c>
      <c r="GA1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1" s="42" t="str">
        <f aca="false">IF(Tasks[[#This Row],[Task Name]]="","",LEFT(Tasks[[#This Row],[WBS]],FIND(".",Tasks[[#This Row],[WBS]]&amp;".")-1))</f>
        <v/>
      </c>
      <c r="GC121" s="42" t="str">
        <f aca="false">IF(AND(Tasks[[#This Row],[Task Name]]&lt;&gt;"",Tasks[[#This Row],[_Level]]=1),Tasks[[#This Row],[_Row]],"")</f>
        <v/>
      </c>
      <c r="GD121" s="42" t="str">
        <f aca="false">IF(AND(Tasks[[#This Row],[_IsLeaf]]=1,N(Tasks[[#This Row],[_Days]])=0),Tasks[[#This Row],[Planned Finish]]+Tasks[[#This Row],[_Row]]/100000,"")</f>
        <v/>
      </c>
      <c r="GE121" s="42" t="str">
        <f aca="false">IF(AND(Tasks[[#This Row],[_IsLeaf]]=1,Tasks[[#This Row],[_LeafProgress]]&lt;1,OR(N(Tasks[[#This Row],[Finish Var]])&gt;0,Tasks[[#This Row],[Status]]="Late Start")),MAX(0,Tasks[[#This Row],[Finish Var]])+1-Tasks[[#This Row],[_Row]]/1000000,"")</f>
        <v/>
      </c>
      <c r="GF121" s="42" t="str">
        <f aca="false">IF(AND(Tasks[[#This Row],[_IsLeaf]]=1,N(Tasks[[#This Row],[Actual Start]])=0,Tasks[[#This Row],[_ShownFcstStart]]&gt;=StatusDate,Tasks[[#This Row],[_ShownFcstStart]]&lt;=LookaheadEnd),Tasks[[#This Row],[_ShownFcstStart]]+Tasks[[#This Row],[_Row]]/100000,"")</f>
        <v/>
      </c>
      <c r="GG121" s="42" t="str">
        <f aca="false">IF(AND(Tasks[[#This Row],[_IsLeaf]]=1,Tasks[[#This Row],[_LeafProgress]]&lt;1,Tasks[[#This Row],[_ShownFcstFinish]]&gt;=StatusDate,Tasks[[#This Row],[_ShownFcstFinish]]&lt;=LookaheadEnd),Tasks[[#This Row],[_ShownFcstFinish]]+Tasks[[#This Row],[_Row]]/100000,"")</f>
        <v/>
      </c>
      <c r="GH121" s="42" t="str">
        <f aca="false">IF(Tasks[[#This Row],[_LeafCritical]],Tasks[[#This Row],[_ShownFcstStart]]+Tasks[[#This Row],[_Row]]/100000,"")</f>
        <v/>
      </c>
      <c r="GI121" s="42" t="n">
        <f aca="false">Tasks[[#This Row],[_LeafWork]]*Tasks[[#This Row],[_LeafProgress]]</f>
        <v>0</v>
      </c>
      <c r="GJ121" s="89" t="str">
        <f aca="false">IF(AND(Tasks[[#This Row],[_IsLeaf]]=1,Tasks[[#This Row],[_LeafProgress]]&gt;=1),IF(N(Tasks[[#This Row],[Actual Finish]])&gt;0,Tasks[[#This Row],[Actual Finish]],Tasks[[#This Row],[_ShownFcstFinish]]),"")</f>
        <v/>
      </c>
      <c r="GK121" s="42" t="n">
        <f aca="false">IF(Tasks[[#This Row],[_IsLeaf]]=1,N(Tasks[[#This Row],[Story Points]]),0)</f>
        <v>0</v>
      </c>
      <c r="GL121" s="42" t="str">
        <f aca="false">""</f>
        <v/>
      </c>
      <c r="GM121" s="88" t="b">
        <f aca="false">IF(Tasks[[#This Row],[Task Name]]="",FALSE(),AND(Tasks[[#This Row],[_IsLeaf]]=1,N(Tasks[[#This Row],[_Days]])=0))</f>
        <v>0</v>
      </c>
      <c r="GN121" s="89" t="n">
        <f aca="false">IF(Tasks[[#This Row],[Task Name]]="",0,IF(AND(Tasks[[#This Row],[_IsLeaf]]=1,NOT(Tasks[[#This Row],[_IsMilestone]]),N(Tasks[[#This Row],[Progress]])&gt;0),Tasks[[#This Row],[Start]],0))</f>
        <v>0</v>
      </c>
      <c r="GO121" s="89" t="n">
        <f aca="false">IF(Tasks[[#This Row],[_DoneFrom]]=0,0,IF(Tasks[[#This Row],[Progress]]&gt;=1,Tasks[[#This Row],[Finish]],MAX(Tasks[[#This Row],[_DoneFrom]],Tasks[[#This Row],[Start]]+ROUND((Tasks[[#This Row],[Finish]]-Tasks[[#This Row],[Start]]+1)*Tasks[[#This Row],[Progress]],0)-1)))</f>
        <v>0</v>
      </c>
      <c r="GP121" s="89" t="n">
        <f aca="false">IF(Tasks[[#This Row],[Task Name]]="",0,IF(OR(NOT(Tasks[[#This Row],[_IsLeaf]]=1),Tasks[[#This Row],[_IsMilestone]],N(Tasks[[#This Row],[Progress]])&gt;=1),0,IF(Tasks[[#This Row],[_DoneTo]]&gt;0,Tasks[[#This Row],[_DoneTo]]+1,Tasks[[#This Row],[Start]])))</f>
        <v>0</v>
      </c>
      <c r="GQ121" s="89" t="n">
        <f aca="false">IF(Tasks[[#This Row],[_RemFrom]]=0,0,Tasks[[#This Row],[Finish]])</f>
        <v>0</v>
      </c>
      <c r="GR121" s="88" t="b">
        <f aca="false">IF(Tasks[[#This Row],[Task Name]]="",FALSE(),OR(NOT(BaselineSet),N(Tasks[[#This Row],[Baseline Start]])&gt;0))</f>
        <v>0</v>
      </c>
      <c r="GS1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1" s="90" t="str">
        <f aca="false">IF(Tasks[[#This Row],[_IsLeaf]]=1,Tasks[[#This Row],[_Row]],"")</f>
        <v/>
      </c>
      <c r="GW121" s="90" t="str">
        <f aca="false">IFERROR(INDEX(Tasks[UID],SMALL(Tasks[_PickKey],Tasks[[#This Row],[_Row]]))&amp;" "&amp;INDEX(Tasks[Task Name],SMALL(Tasks[_PickKey],Tasks[[#This Row],[_Row]])),"")</f>
        <v/>
      </c>
      <c r="GX121" s="42" t="str">
        <f aca="false">IF(Tasks[[#This Row],[Task Name]]="","",IF(Tasks[[#This Row],[_IsSummary]],NETWORKDAYS.INTL(Tasks[[#This Row],[Start]],Tasks[[#This Row],[Finish]],WorkWeek,Holidays),N(Tasks[[#This Row],[_Days]])))</f>
        <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3"/>
      <c r="U122" s="23"/>
      <c r="V122" s="83"/>
      <c r="W122" s="23"/>
      <c r="X122" s="83"/>
      <c r="Y122" s="23"/>
      <c r="Z122" s="83"/>
      <c r="AA122" s="23"/>
      <c r="AB122" s="23"/>
      <c r="AC122" s="7"/>
      <c r="AD122" s="7"/>
      <c r="AE122" s="62" t="str">
        <f aca="false">IF(Tasks[[#This Row],[Task Name]]="","",IF(Tasks[[#This Row],[_IsSummary]],MIN(INDEX(Tasks[_ShownFcstStart],Tasks[[#This Row],[_Row]]+1):INDEX(Tasks[_ShownFcstStart],Tasks[[#This Row],[_Row]]+Tasks[[#This Row],[_Descendants]])),Tasks[[#This Row],[_ShownFcstStart]]))</f>
        <v/>
      </c>
      <c r="AF122" s="62"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2" s="7"/>
      <c r="AK122" s="22"/>
      <c r="AL122" s="23"/>
      <c r="AM122" s="7"/>
      <c r="AN122" s="46"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2" t="str">
        <f aca="false">IF(Tasks[[#This Row],[Task Name]]="","",IF(N(Tasks[[#This Row],[Baseline Start]])&gt;0,Tasks[[#This Row],[Baseline Start]],Tasks[[#This Row],[_CalcStart]]))</f>
        <v/>
      </c>
      <c r="AR122" s="62" t="str">
        <f aca="false">IF(Tasks[[#This Row],[Task Name]]="","",IF(N(Tasks[[#This Row],[Baseline Finish]])&gt;0,Tasks[[#This Row],[Baseline Finish]],Tasks[[#This Row],[_CalcFinish]]))</f>
        <v/>
      </c>
      <c r="AS122" s="46" t="str">
        <f aca="false">IF(Tasks[[#This Row],[Task Name]]="","",IF(Tasks[[#This Row],[Start]]&gt;=Tasks[[#This Row],[Planned Start]],NETWORKDAYS.INTL(Tasks[[#This Row],[Planned Start]],Tasks[[#This Row],[Start]],WorkWeek,Holidays)-1,1-NETWORKDAYS.INTL(Tasks[[#This Row],[Start]],Tasks[[#This Row],[Planned Start]],WorkWeek,Holidays)))</f>
        <v/>
      </c>
      <c r="AT122" s="62" t="str">
        <f aca="false">IF(Tasks[[#This Row],[Task Name]]="","",IF(Tasks[[#This Row],[_IsSummary]],MIN(INDEX(Tasks[_LeafLateStart],Tasks[[#This Row],[_Row]]+1):INDEX(Tasks[_LeafLateStart],Tasks[[#This Row],[_Row]]+Tasks[[#This Row],[_Descendants]])),Tasks[[#This Row],[_LeafLateStart]]))</f>
        <v/>
      </c>
      <c r="AU122" s="62" t="str">
        <f aca="false">IF(Tasks[[#This Row],[Task Name]]="","",IF(Tasks[[#This Row],[_IsSummary]],MAX(INDEX(Tasks[_LeafLateFinish],Tasks[[#This Row],[_Row]]+1):INDEX(Tasks[_LeafLateFinish],Tasks[[#This Row],[_Row]]+Tasks[[#This Row],[_Descendants]])),Tasks[[#This Row],[_LeafLateFinish]]))</f>
        <v/>
      </c>
      <c r="AV122" s="46"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4"/>
      <c r="BA1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5"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6"/>
      <c r="BJ122" s="22"/>
      <c r="BK122" s="46" t="str">
        <f aca="false">IF(OR(Tasks[[#This Row],[Task Name]]="",Tasks[[#This Row],[Baseline Duration]]=""),"",Tasks[[#This Row],[_SpanDays]]-N(Tasks[[#This Row],[Baseline Duration]]))</f>
        <v/>
      </c>
      <c r="BL122" s="85" t="str">
        <f aca="false">IF(OR(Tasks[[#This Row],[Task Name]]="",Tasks[[#This Row],[Baseline Work]]=""),"",Tasks[[#This Row],[Work]]-N(Tasks[[#This Row],[Baseline Work]]))</f>
        <v/>
      </c>
      <c r="BM122" s="62" t="str">
        <f aca="false">IF(Tasks[[#This Row],[Task Name]]="","",IF(OR(TakeBaseline="Yes",N(Tasks[[#This Row],[Baseline Start]])=0),Tasks[[#This Row],[Start]],Tasks[[#This Row],[Baseline Start]]))</f>
        <v/>
      </c>
      <c r="BN122" s="62"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5" t="str">
        <f aca="false">IF(Tasks[[#This Row],[Task Name]]="","",IF(OR(TakeBaseline="Yes",N(Tasks[[#This Row],[Baseline Work]])=0),Tasks[[#This Row],[Work]],Tasks[[#This Row],[Baseline Work]]))</f>
        <v/>
      </c>
      <c r="BQ122" s="7"/>
      <c r="BR122" s="7"/>
      <c r="BS122" s="22"/>
      <c r="BT122" s="87"/>
      <c r="BU122" s="42" t="str">
        <f aca="false">IF(Tasks[[#This Row],[Task Name]]="","",MAX(1,N(Tasks[[#This Row],[Level]])))</f>
        <v/>
      </c>
      <c r="BV122" s="42" t="n">
        <f aca="false">ROW()-ROW(Tasks[[#Headers],[ID]])</f>
        <v>117</v>
      </c>
      <c r="BW122" s="42" t="n">
        <f aca="false">IF(OR(Tasks[[#This Row],[Task Name]]="",Tasks[[#This Row],[_Level]]&lt;=1),0,IFERROR(LOOKUP(2,1/(Tasks[[#Headers],[_Level]]:Tasks[[#This Row],[_Level]]=Tasks[[#This Row],[_Level]]-1),ROW(Tasks[[#Headers],[_Level]]:Tasks[[#This Row],[_Level]])),0))</f>
        <v>0</v>
      </c>
      <c r="BX122" s="42" t="n">
        <f aca="false">IFERROR(N(INDEX(Tasks[_Level],Tasks[[#This Row],[_Row]]+1)),0)</f>
        <v>0</v>
      </c>
      <c r="BY122" s="88" t="b">
        <f aca="false">AND(Tasks[[#This Row],[Task Name]]&lt;&gt;"",Tasks[[#This Row],[_NextLevel]]&gt;Tasks[[#This Row],[_Level]])</f>
        <v>0</v>
      </c>
      <c r="BZ122" s="42" t="n">
        <f aca="false">IF(Tasks[[#This Row],[_IsSummary]],COUNTIF(Tasks[WBS],Tasks[[#This Row],[WBS]]&amp;".*"),0)</f>
        <v>0</v>
      </c>
      <c r="CA122" s="42" t="n">
        <f aca="false">IF(AND(Tasks[[#This Row],[Task Name]]&lt;&gt;"",NOT(Tasks[[#This Row],[_IsSummary]])),1,0)</f>
        <v>0</v>
      </c>
      <c r="CB122" s="42" t="n">
        <f aca="false">IF(N(Tasks[[#This Row],[_Pred1UID]])=0,0,IFERROR(MATCH(Tasks[[#This Row],[_Pred1UID]],Tasks[UID],0),-1))</f>
        <v>0</v>
      </c>
      <c r="CC122" s="42" t="n">
        <f aca="false">IF(N(Tasks[[#This Row],[_Pred2UID]])=0,0,IFERROR(MATCH(Tasks[[#This Row],[_Pred2UID]],Tasks[UID],0),-1))</f>
        <v>0</v>
      </c>
      <c r="CD122" s="42" t="n">
        <f aca="false">IF(N(Tasks[[#This Row],[_Pred3UID]])=0,0,IFERROR(MATCH(Tasks[[#This Row],[_Pred3UID]],Tasks[UID],0),-1))</f>
        <v>0</v>
      </c>
      <c r="CE122" s="42" t="n">
        <f aca="false">IF(N(Tasks[[#This Row],[_Pred4UID]])=0,0,IFERROR(MATCH(Tasks[[#This Row],[_Pred4UID]],Tasks[UID],0),-1))</f>
        <v>0</v>
      </c>
      <c r="CF1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2" s="89" t="n">
        <f aca="false">IF(OR(Tasks[[#This Row],[_ConstraintCode]]=2,Tasks[[#This Row],[_ConstraintCode]]=3,Tasks[[#This Row],[_ConstraintCode]]=4,Tasks[[#This Row],[_ConstraintCode]]=6),Tasks[[#This Row],[_ConstraintStart]],0)</f>
        <v>0</v>
      </c>
      <c r="CI122" s="89" t="n">
        <f aca="false">IF(OR(Tasks[[#This Row],[_ConstraintCode]]=2,Tasks[[#This Row],[_ConstraintCode]]=3,Tasks[[#This Row],[_ConstraintCode]]=5,Tasks[[#This Row],[_ConstraintCode]]=7),Tasks[[#This Row],[_ConstraintStart]],2958465)</f>
        <v>2958465</v>
      </c>
      <c r="CJ1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2" s="89" t="str">
        <f aca="false">IF(NOT(Tasks[[#This Row],[_IsLeaf]]=1),"",IF(N(Tasks[[#This Row],[_Days]])&lt;=0,Tasks[[#This Row],[_LeafCalcStart]],WORKDAY.INTL(Tasks[[#This Row],[_LeafCalcStart]],Tasks[[#This Row],[_Days]]-1,WorkWeek,Holidays)))</f>
        <v/>
      </c>
      <c r="CL1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2" s="42" t="str">
        <f aca="false">IF(Tasks[[#This Row],[_Predecessors]]="","",TRIM(MID(SUBSTITUTE(SUBSTITUTE(SUBSTITUTE(UPPER(Tasks[[#This Row],[_Predecessors]]),";",",")," ",""),",",REPT(" ",99)),1,99)))</f>
        <v/>
      </c>
      <c r="CO122" s="42" t="str">
        <f aca="false">IF(Tasks[[#This Row],[_Pred1Text]]="","",IFERROR(VALUE(LEFT(Tasks[[#This Row],[_Pred1Text]],MIN(FIND("F",Tasks[[#This Row],[_Pred1Text]]&amp;"F"),FIND("S",Tasks[[#This Row],[_Pred1Text]]&amp;"S"),FIND("+",Tasks[[#This Row],[_Pred1Text]]&amp;"+"),FIND("-",Tasks[[#This Row],[_Pred1Text]]&amp;"-"))-1)),""))</f>
        <v/>
      </c>
      <c r="CP1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2" s="42" t="str">
        <f aca="false">IF(Tasks[[#This Row],[_Pred1Text]]="","",TRIM(MID(SUBSTITUTE(SUBSTITUTE(SUBSTITUTE(UPPER(Tasks[[#This Row],[_Predecessors]]),";",",")," ",""),",",REPT(" ",99)),100,99)))</f>
        <v/>
      </c>
      <c r="CS122" s="42" t="str">
        <f aca="false">IF(Tasks[[#This Row],[_Pred2Text]]="","",IFERROR(VALUE(LEFT(Tasks[[#This Row],[_Pred2Text]],MIN(FIND("F",Tasks[[#This Row],[_Pred2Text]]&amp;"F"),FIND("S",Tasks[[#This Row],[_Pred2Text]]&amp;"S"),FIND("+",Tasks[[#This Row],[_Pred2Text]]&amp;"+"),FIND("-",Tasks[[#This Row],[_Pred2Text]]&amp;"-"))-1)),""))</f>
        <v/>
      </c>
      <c r="CT1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2" s="42" t="str">
        <f aca="false">IF(Tasks[[#This Row],[_Pred2Text]]="","",TRIM(MID(SUBSTITUTE(SUBSTITUTE(SUBSTITUTE(UPPER(Tasks[[#This Row],[_Predecessors]]),";",",")," ",""),",",REPT(" ",99)),199,99)))</f>
        <v/>
      </c>
      <c r="CW122" s="42" t="str">
        <f aca="false">IF(Tasks[[#This Row],[_Pred3Text]]="","",IFERROR(VALUE(LEFT(Tasks[[#This Row],[_Pred3Text]],MIN(FIND("F",Tasks[[#This Row],[_Pred3Text]]&amp;"F"),FIND("S",Tasks[[#This Row],[_Pred3Text]]&amp;"S"),FIND("+",Tasks[[#This Row],[_Pred3Text]]&amp;"+"),FIND("-",Tasks[[#This Row],[_Pred3Text]]&amp;"-"))-1)),""))</f>
        <v/>
      </c>
      <c r="CX1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2" s="42" t="str">
        <f aca="false">IF(Tasks[[#This Row],[_Pred3Text]]="","",TRIM(MID(SUBSTITUTE(SUBSTITUTE(SUBSTITUTE(UPPER(Tasks[[#This Row],[_Predecessors]]),";",",")," ",""),",",REPT(" ",99)),298,99)))</f>
        <v/>
      </c>
      <c r="DA122" s="42" t="str">
        <f aca="false">IF(Tasks[[#This Row],[_Pred4Text]]="","",IFERROR(VALUE(LEFT(Tasks[[#This Row],[_Pred4Text]],MIN(FIND("F",Tasks[[#This Row],[_Pred4Text]]&amp;"F"),FIND("S",Tasks[[#This Row],[_Pred4Text]]&amp;"S"),FIND("+",Tasks[[#This Row],[_Pred4Text]]&amp;"+"),FIND("-",Tasks[[#This Row],[_Pred4Text]]&amp;"-"))-1)),""))</f>
        <v/>
      </c>
      <c r="DB1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2" s="42" t="str">
        <f aca="false">IF(OR(Tasks[[#This Row],[Task Name]]="",Tasks[[#This Row],[_Resources]]=""),"",TRIM(MID(SUBSTITUTE(Tasks[[#This Row],[_Resources]],",",REPT(" ",99)),1,99)))</f>
        <v/>
      </c>
      <c r="DE122" s="42" t="str">
        <f aca="false">IF(Tasks[[#This Row],[_Res1Text]]="","",TRIM(MID(SUBSTITUTE(Tasks[[#This Row],[_Resources]],",",REPT(" ",99)),100,99)))</f>
        <v/>
      </c>
      <c r="DF122" s="42" t="str">
        <f aca="false">IF(Tasks[[#This Row],[_Res2Text]]="","",TRIM(MID(SUBSTITUTE(Tasks[[#This Row],[_Resources]],",",REPT(" ",99)),199,99)))</f>
        <v/>
      </c>
      <c r="DG122" s="42" t="str">
        <f aca="false">IF(Tasks[[#This Row],[_Res3Text]]="","",TRIM(MID(SUBSTITUTE(Tasks[[#This Row],[_Resources]],",",REPT(" ",99)),298,99)))</f>
        <v/>
      </c>
      <c r="DH122" s="42" t="n">
        <f aca="false">IF(Tasks[[#This Row],[_Res1Text]]="",0,IFERROR(MATCH(TRIM(LEFT(Tasks[[#This Row],[_Res1Text]],FIND("[",Tasks[[#This Row],[_Res1Text]]&amp;"[")-1)),res_Name,0),IFERROR(MATCH(TRIM(LEFT(Tasks[[#This Row],[_Res1Text]],FIND("[",Tasks[[#This Row],[_Res1Text]]&amp;"[")-1)),res_Initials,0),0)))</f>
        <v>0</v>
      </c>
      <c r="DI122" s="42" t="n">
        <f aca="false">IF(Tasks[[#This Row],[_Res2Text]]="",0,IFERROR(MATCH(TRIM(LEFT(Tasks[[#This Row],[_Res2Text]],FIND("[",Tasks[[#This Row],[_Res2Text]]&amp;"[")-1)),res_Name,0),IFERROR(MATCH(TRIM(LEFT(Tasks[[#This Row],[_Res2Text]],FIND("[",Tasks[[#This Row],[_Res2Text]]&amp;"[")-1)),res_Initials,0),0)))</f>
        <v>0</v>
      </c>
      <c r="DJ122" s="42" t="n">
        <f aca="false">IF(Tasks[[#This Row],[_Res3Text]]="",0,IFERROR(MATCH(TRIM(LEFT(Tasks[[#This Row],[_Res3Text]],FIND("[",Tasks[[#This Row],[_Res3Text]]&amp;"[")-1)),res_Name,0),IFERROR(MATCH(TRIM(LEFT(Tasks[[#This Row],[_Res3Text]],FIND("[",Tasks[[#This Row],[_Res3Text]]&amp;"[")-1)),res_Initials,0),0)))</f>
        <v>0</v>
      </c>
      <c r="DK122" s="42" t="n">
        <f aca="false">IF(Tasks[[#This Row],[_Res4Text]]="",0,IFERROR(MATCH(TRIM(LEFT(Tasks[[#This Row],[_Res4Text]],FIND("[",Tasks[[#This Row],[_Res4Text]]&amp;"[")-1)),res_Name,0),IFERROR(MATCH(TRIM(LEFT(Tasks[[#This Row],[_Res4Text]],FIND("[",Tasks[[#This Row],[_Res4Text]]&amp;"[")-1)),res_Initials,0),0)))</f>
        <v>0</v>
      </c>
      <c r="DL122" s="42" t="str">
        <f aca="false">IF(Tasks[[#This Row],[_Res1Text]]="","",IF(Tasks[[#This Row],[_Res1Row]]&gt;0,INDEX(res_Name,Tasks[[#This Row],[_Res1Row]]),TRIM(LEFT(Tasks[[#This Row],[_Res1Text]],FIND("[",Tasks[[#This Row],[_Res1Text]]&amp;"[")-1))))</f>
        <v/>
      </c>
      <c r="DM1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2" s="42" t="n">
        <f aca="false">IF(NOT(Tasks[[#This Row],[_IsLeaf]]=1),0,(Tasks[[#This Row],[_Resource1]]&lt;&gt;"")+(Tasks[[#This Row],[_Res2]]&lt;&gt;"")+(Tasks[[#This Row],[_Res3]]&lt;&gt;"")+(Tasks[[#This Row],[_Res4]]&lt;&gt;""))</f>
        <v>0</v>
      </c>
      <c r="DO122" s="42" t="str">
        <f aca="false">IF(Tasks[[#This Row],[_Res2Text]]="","",IF(Tasks[[#This Row],[_Res2Row]]&gt;0,INDEX(res_Name,Tasks[[#This Row],[_Res2Row]]),TRIM(LEFT(Tasks[[#This Row],[_Res2Text]],FIND("[",Tasks[[#This Row],[_Res2Text]]&amp;"[")-1))))</f>
        <v/>
      </c>
      <c r="DP1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2" s="42" t="n">
        <f aca="false">IF(OR(NOT(Tasks[[#This Row],[_IsLeaf]]=1),Tasks[[#This Row],[_Res2Row]]=0),0,N(Tasks[[#This Row],[_Days]])*HoursPerDay*IF(Tasks[[#This Row],[_Res2Units]]="",DefaultUnits,Tasks[[#This Row],[_Res2Units]]))</f>
        <v>0</v>
      </c>
      <c r="DR122" s="42" t="n">
        <f aca="false">IF(AND(AND(Tasks[[#This Row],[_IsLeaf]]=1,Tasks[[#This Row],[_LeafTotalWork]]&gt;0),Tasks[[#This Row],[_Res2Work]]&gt;0),Tasks[[#This Row],[_Res2Work]]/(Tasks[[#This Row],[_FinishWorkday]]-Tasks[[#This Row],[_StartWorkday]]+1),0)</f>
        <v>0</v>
      </c>
      <c r="DS122" s="42" t="n">
        <f aca="false">Tasks[[#This Row],[_Res2WorkPerWD]]*MAX(0,Tasks[[#This Row],[_StartWorkday]]-1)</f>
        <v>0</v>
      </c>
      <c r="DT122" s="42" t="n">
        <f aca="false">Tasks[[#This Row],[_Res2Work]]*Tasks[[#This Row],[_LeafProgress]]</f>
        <v>0</v>
      </c>
      <c r="DU122" s="42" t="str">
        <f aca="false">IF(Tasks[[#This Row],[_Res3Text]]="","",IF(Tasks[[#This Row],[_Res3Row]]&gt;0,INDEX(res_Name,Tasks[[#This Row],[_Res3Row]]),TRIM(LEFT(Tasks[[#This Row],[_Res3Text]],FIND("[",Tasks[[#This Row],[_Res3Text]]&amp;"[")-1))))</f>
        <v/>
      </c>
      <c r="DV1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2" s="42" t="n">
        <f aca="false">IF(OR(NOT(Tasks[[#This Row],[_IsLeaf]]=1),Tasks[[#This Row],[_Res3Row]]=0),0,N(Tasks[[#This Row],[_Days]])*HoursPerDay*IF(Tasks[[#This Row],[_Res3Units]]="",DefaultUnits,Tasks[[#This Row],[_Res3Units]]))</f>
        <v>0</v>
      </c>
      <c r="DX122" s="42" t="n">
        <f aca="false">IF(AND(AND(Tasks[[#This Row],[_IsLeaf]]=1,Tasks[[#This Row],[_LeafTotalWork]]&gt;0),Tasks[[#This Row],[_Res3Work]]&gt;0),Tasks[[#This Row],[_Res3Work]]/(Tasks[[#This Row],[_FinishWorkday]]-Tasks[[#This Row],[_StartWorkday]]+1),0)</f>
        <v>0</v>
      </c>
      <c r="DY122" s="42" t="n">
        <f aca="false">Tasks[[#This Row],[_Res3WorkPerWD]]*MAX(0,Tasks[[#This Row],[_StartWorkday]]-1)</f>
        <v>0</v>
      </c>
      <c r="DZ122" s="42" t="n">
        <f aca="false">Tasks[[#This Row],[_Res3Work]]*Tasks[[#This Row],[_LeafProgress]]</f>
        <v>0</v>
      </c>
      <c r="EA122" s="42" t="str">
        <f aca="false">IF(Tasks[[#This Row],[_Res4Text]]="","",IF(Tasks[[#This Row],[_Res4Row]]&gt;0,INDEX(res_Name,Tasks[[#This Row],[_Res4Row]]),TRIM(LEFT(Tasks[[#This Row],[_Res4Text]],FIND("[",Tasks[[#This Row],[_Res4Text]]&amp;"[")-1))))</f>
        <v/>
      </c>
      <c r="EB1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2" s="42" t="n">
        <f aca="false">IF(OR(NOT(Tasks[[#This Row],[_IsLeaf]]=1),Tasks[[#This Row],[_Res4Row]]=0),0,N(Tasks[[#This Row],[_Days]])*HoursPerDay*IF(Tasks[[#This Row],[_Res4Units]]="",DefaultUnits,Tasks[[#This Row],[_Res4Units]]))</f>
        <v>0</v>
      </c>
      <c r="ED122" s="42" t="n">
        <f aca="false">IF(AND(AND(Tasks[[#This Row],[_IsLeaf]]=1,Tasks[[#This Row],[_LeafTotalWork]]&gt;0),Tasks[[#This Row],[_Res4Work]]&gt;0),Tasks[[#This Row],[_Res4Work]]/(Tasks[[#This Row],[_FinishWorkday]]-Tasks[[#This Row],[_StartWorkday]]+1),0)</f>
        <v>0</v>
      </c>
      <c r="EE122" s="42" t="n">
        <f aca="false">Tasks[[#This Row],[_Res4WorkPerWD]]*MAX(0,Tasks[[#This Row],[_StartWorkday]]-1)</f>
        <v>0</v>
      </c>
      <c r="EF122" s="42" t="n">
        <f aca="false">Tasks[[#This Row],[_Res4Work]]*Tasks[[#This Row],[_LeafProgress]]</f>
        <v>0</v>
      </c>
      <c r="EG122" s="42" t="n">
        <f aca="false">IF(ISNUMBER(Tasks[[#This Row],[% Complete]]),Tasks[[#This Row],[% Complete]],IF(Tasks[[#This Row],[Stage]]="",0,IFERROR(INDEX(stg_Pct,MATCH(Tasks[[#This Row],[Stage]],stg_Name,0)),0)))</f>
        <v>0</v>
      </c>
      <c r="EH122" s="42" t="n">
        <f aca="false">IF(NOT(Tasks[[#This Row],[_IsLeaf]]=1),0,IF(N(Tasks[[#This Row],[Actual Finish]])&gt;0,1,MIN(1,Tasks[[#This Row],[_Pct]])))</f>
        <v>0</v>
      </c>
      <c r="EI122" s="42" t="n">
        <f aca="false">IF(OR(NOT(Tasks[[#This Row],[_IsLeaf]]=1),Tasks[[#This Row],[_Res1Row]]=0),0,N(Tasks[[#This Row],[_Days]])*HoursPerDay*IF(Tasks[[#This Row],[_Units1]]="",DefaultUnits,Tasks[[#This Row],[_Units1]]))</f>
        <v>0</v>
      </c>
      <c r="EJ122" s="42" t="n">
        <f aca="false">Tasks[[#This Row],[_LeafWork]]+Tasks[[#This Row],[_Res2Work]]+Tasks[[#This Row],[_Res3Work]]+Tasks[[#This Row],[_Res4Work]]</f>
        <v>0</v>
      </c>
      <c r="EK1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2" s="42" t="n">
        <f aca="false">IF(NOT(Tasks[[#This Row],[_IsLeaf]]=1),0,MAX(_xlfn.MAXIFS(Tasks[_Row],Tasks[_Pred1UID],Tasks[[#This Row],[UID]]),_xlfn.MAXIFS(Tasks[_Row],Tasks[_Pred2UID],Tasks[[#This Row],[UID]]),_xlfn.MAXIFS(Tasks[_Row],Tasks[_Pred3UID],Tasks[[#This Row],[UID]]),_xlfn.MAXIFS(Tasks[_Row],Tasks[_Pred4UID],Tasks[[#This Row],[UID]])))</f>
        <v>0</v>
      </c>
      <c r="ET1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2" s="89" t="str">
        <f aca="false">IF(NOT(Tasks[[#This Row],[_IsLeaf]]=1),"",IF(N(Tasks[[#This Row],[_Days]])&lt;=0,Tasks[[#This Row],[_LeafLateFinish]],WORKDAY.INTL(Tasks[[#This Row],[_LeafLateFinish]],-(Tasks[[#This Row],[_Days]]-1),WorkWeek,Holidays)))</f>
        <v/>
      </c>
      <c r="EW1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2" s="88" t="b">
        <f aca="false">AND(Tasks[[#This Row],[_IsLeaf]]=1,Tasks[[#This Row],[_LeafProgress]]&lt;1,N(Tasks[[#This Row],[_LeafTotalSlack]])&lt;=CriticalSlackDays)</f>
        <v>0</v>
      </c>
      <c r="EY122" s="42" t="n">
        <f aca="false">IF(AND(Tasks[[#This Row],[_IsLeaf]]=1,Tasks[[#This Row],[_ConstraintCode]]=1,Tasks[[#This Row],[Mode]]&lt;&gt;"Manual",N(Tasks[[#This Row],[Actual Start]])=0),MAX(0,N(Tasks[[#This Row],[Free Slack]])),0)</f>
        <v>0</v>
      </c>
      <c r="EZ122" s="89" t="str">
        <f aca="false">IF(NOT(Tasks[[#This Row],[_IsLeaf]]=1),"",IF(Tasks[[#This Row],[_AlapShift]]=0,Tasks[[#This Row],[_LeafCalcStart]],WORKDAY.INTL(Tasks[[#This Row],[_LeafCalcStart]],Tasks[[#This Row],[_AlapShift]],WorkWeek,Holidays)))</f>
        <v/>
      </c>
      <c r="FA122" s="89" t="str">
        <f aca="false">IF(NOT(Tasks[[#This Row],[_IsLeaf]]=1),"",IF(Tasks[[#This Row],[_AlapShift]]=0,Tasks[[#This Row],[_LeafCalcFinish]],WORKDAY.INTL(Tasks[[#This Row],[_LeafCalcFinish]],Tasks[[#This Row],[_AlapShift]],WorkWeek,Holidays)))</f>
        <v/>
      </c>
      <c r="FB122" s="89" t="str">
        <f aca="false">IF(NOT(Tasks[[#This Row],[_IsLeaf]]=1),"",IF(Tasks[[#This Row],[_AlapShift]]=0,Tasks[[#This Row],[_LeafFcstStart]],WORKDAY.INTL(Tasks[[#This Row],[_LeafFcstStart]],Tasks[[#This Row],[_AlapShift]],WorkWeek,Holidays)))</f>
        <v/>
      </c>
      <c r="FC122" s="89" t="str">
        <f aca="false">IF(NOT(Tasks[[#This Row],[_IsLeaf]]=1),"",IF(Tasks[[#This Row],[_AlapShift]]=0,Tasks[[#This Row],[_LeafFcstFinish]],WORKDAY.INTL(Tasks[[#This Row],[_LeafFcstFinish]],Tasks[[#This Row],[_AlapShift]],WorkWeek,Holidays)))</f>
        <v/>
      </c>
      <c r="FD122" s="89" t="str">
        <f aca="false">IF(Tasks[[#This Row],[Task Name]]="","",IF(Tasks[[#This Row],[_IsSummary]],MIN(INDEX(Tasks[_ShownCalcStart],Tasks[[#This Row],[_Row]]+1):INDEX(Tasks[_ShownCalcStart],Tasks[[#This Row],[_Row]]+Tasks[[#This Row],[_Descendants]])),Tasks[[#This Row],[_ShownCalcStart]]))</f>
        <v/>
      </c>
      <c r="FE122" s="89" t="str">
        <f aca="false">IF(Tasks[[#This Row],[Task Name]]="","",IF(Tasks[[#This Row],[_IsSummary]],MAX(INDEX(Tasks[_ShownCalcFinish],Tasks[[#This Row],[_Row]]+1):INDEX(Tasks[_ShownCalcFinish],Tasks[[#This Row],[_Row]]+Tasks[[#This Row],[_Descendants]])),Tasks[[#This Row],[_ShownCalcFinish]]))</f>
        <v/>
      </c>
      <c r="FF1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2" s="42" t="n">
        <f aca="false">IF(AND(Tasks[[#This Row],[_IsLeaf]]=1,Tasks[[#This Row],[_LeafTotalWork]]&gt;0),NETWORKDAYS.INTL(ProjectStart,Tasks[[#This Row],[_ShownFcstStart]],WorkWeek,Holidays),0)</f>
        <v>0</v>
      </c>
      <c r="FS122" s="42" t="n">
        <f aca="false">IF(AND(Tasks[[#This Row],[_IsLeaf]]=1,Tasks[[#This Row],[_LeafTotalWork]]&gt;0),MAX(Tasks[[#This Row],[_StartWorkday]],NETWORKDAYS.INTL(ProjectStart,Tasks[[#This Row],[_ShownFcstFinish]],WorkWeek,Holidays)),0)</f>
        <v>0</v>
      </c>
      <c r="FT122" s="42" t="n">
        <f aca="false">IF(AND(Tasks[[#This Row],[_IsLeaf]]=1,Tasks[[#This Row],[_LeafTotalWork]]&gt;0),Tasks[[#This Row],[_LeafWork]]/(Tasks[[#This Row],[_FinishWorkday]]-Tasks[[#This Row],[_StartWorkday]]+1),0)</f>
        <v>0</v>
      </c>
      <c r="FU122" s="42" t="n">
        <f aca="false">Tasks[[#This Row],[_WorkPerWorkday]]*(Tasks[[#This Row],[_StartWorkday]]-1)</f>
        <v>-0</v>
      </c>
      <c r="FV122" s="42" t="n">
        <f aca="false">IF(Tasks[[#This Row],[_IsLeaf]]=1,MAX(N(Tasks[[#This Row],[_Days]]),0.1),0)</f>
        <v>0</v>
      </c>
      <c r="FW122" s="42" t="n">
        <f aca="false">Tasks[[#This Row],[_WeightDur]]*Tasks[[#This Row],[_LeafProgress]]</f>
        <v>0</v>
      </c>
      <c r="FX122" s="42" t="n">
        <f aca="false">Tasks[[#This Row],[_WeightDur]]*Tasks[[#This Row],[_PlannedPct]]</f>
        <v>0</v>
      </c>
      <c r="FY1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2" s="42" t="str">
        <f aca="false">IF(AND(Tasks[[#This Row],[_IsLeaf]]=1,N(Tasks[[#This Row],[_Days]])=0,Tasks[[#This Row],[_LeafProgress]]&lt;1),Tasks[[#This Row],[_ShownFcstFinish]]+Tasks[[#This Row],[_Row]]/100000,"")</f>
        <v/>
      </c>
      <c r="GA1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2" s="42" t="str">
        <f aca="false">IF(Tasks[[#This Row],[Task Name]]="","",LEFT(Tasks[[#This Row],[WBS]],FIND(".",Tasks[[#This Row],[WBS]]&amp;".")-1))</f>
        <v/>
      </c>
      <c r="GC122" s="42" t="str">
        <f aca="false">IF(AND(Tasks[[#This Row],[Task Name]]&lt;&gt;"",Tasks[[#This Row],[_Level]]=1),Tasks[[#This Row],[_Row]],"")</f>
        <v/>
      </c>
      <c r="GD122" s="42" t="str">
        <f aca="false">IF(AND(Tasks[[#This Row],[_IsLeaf]]=1,N(Tasks[[#This Row],[_Days]])=0),Tasks[[#This Row],[Planned Finish]]+Tasks[[#This Row],[_Row]]/100000,"")</f>
        <v/>
      </c>
      <c r="GE122" s="42" t="str">
        <f aca="false">IF(AND(Tasks[[#This Row],[_IsLeaf]]=1,Tasks[[#This Row],[_LeafProgress]]&lt;1,OR(N(Tasks[[#This Row],[Finish Var]])&gt;0,Tasks[[#This Row],[Status]]="Late Start")),MAX(0,Tasks[[#This Row],[Finish Var]])+1-Tasks[[#This Row],[_Row]]/1000000,"")</f>
        <v/>
      </c>
      <c r="GF122" s="42" t="str">
        <f aca="false">IF(AND(Tasks[[#This Row],[_IsLeaf]]=1,N(Tasks[[#This Row],[Actual Start]])=0,Tasks[[#This Row],[_ShownFcstStart]]&gt;=StatusDate,Tasks[[#This Row],[_ShownFcstStart]]&lt;=LookaheadEnd),Tasks[[#This Row],[_ShownFcstStart]]+Tasks[[#This Row],[_Row]]/100000,"")</f>
        <v/>
      </c>
      <c r="GG122" s="42" t="str">
        <f aca="false">IF(AND(Tasks[[#This Row],[_IsLeaf]]=1,Tasks[[#This Row],[_LeafProgress]]&lt;1,Tasks[[#This Row],[_ShownFcstFinish]]&gt;=StatusDate,Tasks[[#This Row],[_ShownFcstFinish]]&lt;=LookaheadEnd),Tasks[[#This Row],[_ShownFcstFinish]]+Tasks[[#This Row],[_Row]]/100000,"")</f>
        <v/>
      </c>
      <c r="GH122" s="42" t="str">
        <f aca="false">IF(Tasks[[#This Row],[_LeafCritical]],Tasks[[#This Row],[_ShownFcstStart]]+Tasks[[#This Row],[_Row]]/100000,"")</f>
        <v/>
      </c>
      <c r="GI122" s="42" t="n">
        <f aca="false">Tasks[[#This Row],[_LeafWork]]*Tasks[[#This Row],[_LeafProgress]]</f>
        <v>0</v>
      </c>
      <c r="GJ122" s="89" t="str">
        <f aca="false">IF(AND(Tasks[[#This Row],[_IsLeaf]]=1,Tasks[[#This Row],[_LeafProgress]]&gt;=1),IF(N(Tasks[[#This Row],[Actual Finish]])&gt;0,Tasks[[#This Row],[Actual Finish]],Tasks[[#This Row],[_ShownFcstFinish]]),"")</f>
        <v/>
      </c>
      <c r="GK122" s="42" t="n">
        <f aca="false">IF(Tasks[[#This Row],[_IsLeaf]]=1,N(Tasks[[#This Row],[Story Points]]),0)</f>
        <v>0</v>
      </c>
      <c r="GL122" s="42" t="str">
        <f aca="false">""</f>
        <v/>
      </c>
      <c r="GM122" s="88" t="b">
        <f aca="false">IF(Tasks[[#This Row],[Task Name]]="",FALSE(),AND(Tasks[[#This Row],[_IsLeaf]]=1,N(Tasks[[#This Row],[_Days]])=0))</f>
        <v>0</v>
      </c>
      <c r="GN122" s="89" t="n">
        <f aca="false">IF(Tasks[[#This Row],[Task Name]]="",0,IF(AND(Tasks[[#This Row],[_IsLeaf]]=1,NOT(Tasks[[#This Row],[_IsMilestone]]),N(Tasks[[#This Row],[Progress]])&gt;0),Tasks[[#This Row],[Start]],0))</f>
        <v>0</v>
      </c>
      <c r="GO122" s="89" t="n">
        <f aca="false">IF(Tasks[[#This Row],[_DoneFrom]]=0,0,IF(Tasks[[#This Row],[Progress]]&gt;=1,Tasks[[#This Row],[Finish]],MAX(Tasks[[#This Row],[_DoneFrom]],Tasks[[#This Row],[Start]]+ROUND((Tasks[[#This Row],[Finish]]-Tasks[[#This Row],[Start]]+1)*Tasks[[#This Row],[Progress]],0)-1)))</f>
        <v>0</v>
      </c>
      <c r="GP122" s="89" t="n">
        <f aca="false">IF(Tasks[[#This Row],[Task Name]]="",0,IF(OR(NOT(Tasks[[#This Row],[_IsLeaf]]=1),Tasks[[#This Row],[_IsMilestone]],N(Tasks[[#This Row],[Progress]])&gt;=1),0,IF(Tasks[[#This Row],[_DoneTo]]&gt;0,Tasks[[#This Row],[_DoneTo]]+1,Tasks[[#This Row],[Start]])))</f>
        <v>0</v>
      </c>
      <c r="GQ122" s="89" t="n">
        <f aca="false">IF(Tasks[[#This Row],[_RemFrom]]=0,0,Tasks[[#This Row],[Finish]])</f>
        <v>0</v>
      </c>
      <c r="GR122" s="88" t="b">
        <f aca="false">IF(Tasks[[#This Row],[Task Name]]="",FALSE(),OR(NOT(BaselineSet),N(Tasks[[#This Row],[Baseline Start]])&gt;0))</f>
        <v>0</v>
      </c>
      <c r="GS1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2" s="90" t="str">
        <f aca="false">IF(Tasks[[#This Row],[_IsLeaf]]=1,Tasks[[#This Row],[_Row]],"")</f>
        <v/>
      </c>
      <c r="GW122" s="90" t="str">
        <f aca="false">IFERROR(INDEX(Tasks[UID],SMALL(Tasks[_PickKey],Tasks[[#This Row],[_Row]]))&amp;" "&amp;INDEX(Tasks[Task Name],SMALL(Tasks[_PickKey],Tasks[[#This Row],[_Row]])),"")</f>
        <v/>
      </c>
      <c r="GX122" s="42" t="str">
        <f aca="false">IF(Tasks[[#This Row],[Task Name]]="","",IF(Tasks[[#This Row],[_IsSummary]],NETWORKDAYS.INTL(Tasks[[#This Row],[Start]],Tasks[[#This Row],[Finish]],WorkWeek,Holidays),N(Tasks[[#This Row],[_Days]])))</f>
        <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3"/>
      <c r="U123" s="23"/>
      <c r="V123" s="83"/>
      <c r="W123" s="23"/>
      <c r="X123" s="83"/>
      <c r="Y123" s="23"/>
      <c r="Z123" s="83"/>
      <c r="AA123" s="23"/>
      <c r="AB123" s="23"/>
      <c r="AC123" s="7"/>
      <c r="AD123" s="7"/>
      <c r="AE123" s="62" t="str">
        <f aca="false">IF(Tasks[[#This Row],[Task Name]]="","",IF(Tasks[[#This Row],[_IsSummary]],MIN(INDEX(Tasks[_ShownFcstStart],Tasks[[#This Row],[_Row]]+1):INDEX(Tasks[_ShownFcstStart],Tasks[[#This Row],[_Row]]+Tasks[[#This Row],[_Descendants]])),Tasks[[#This Row],[_ShownFcstStart]]))</f>
        <v/>
      </c>
      <c r="AF123" s="62"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3" s="7"/>
      <c r="AK123" s="22"/>
      <c r="AL123" s="23"/>
      <c r="AM123" s="7"/>
      <c r="AN123" s="46"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2" t="str">
        <f aca="false">IF(Tasks[[#This Row],[Task Name]]="","",IF(N(Tasks[[#This Row],[Baseline Start]])&gt;0,Tasks[[#This Row],[Baseline Start]],Tasks[[#This Row],[_CalcStart]]))</f>
        <v/>
      </c>
      <c r="AR123" s="62" t="str">
        <f aca="false">IF(Tasks[[#This Row],[Task Name]]="","",IF(N(Tasks[[#This Row],[Baseline Finish]])&gt;0,Tasks[[#This Row],[Baseline Finish]],Tasks[[#This Row],[_CalcFinish]]))</f>
        <v/>
      </c>
      <c r="AS123" s="46" t="str">
        <f aca="false">IF(Tasks[[#This Row],[Task Name]]="","",IF(Tasks[[#This Row],[Start]]&gt;=Tasks[[#This Row],[Planned Start]],NETWORKDAYS.INTL(Tasks[[#This Row],[Planned Start]],Tasks[[#This Row],[Start]],WorkWeek,Holidays)-1,1-NETWORKDAYS.INTL(Tasks[[#This Row],[Start]],Tasks[[#This Row],[Planned Start]],WorkWeek,Holidays)))</f>
        <v/>
      </c>
      <c r="AT123" s="62" t="str">
        <f aca="false">IF(Tasks[[#This Row],[Task Name]]="","",IF(Tasks[[#This Row],[_IsSummary]],MIN(INDEX(Tasks[_LeafLateStart],Tasks[[#This Row],[_Row]]+1):INDEX(Tasks[_LeafLateStart],Tasks[[#This Row],[_Row]]+Tasks[[#This Row],[_Descendants]])),Tasks[[#This Row],[_LeafLateStart]]))</f>
        <v/>
      </c>
      <c r="AU123" s="62" t="str">
        <f aca="false">IF(Tasks[[#This Row],[Task Name]]="","",IF(Tasks[[#This Row],[_IsSummary]],MAX(INDEX(Tasks[_LeafLateFinish],Tasks[[#This Row],[_Row]]+1):INDEX(Tasks[_LeafLateFinish],Tasks[[#This Row],[_Row]]+Tasks[[#This Row],[_Descendants]])),Tasks[[#This Row],[_LeafLateFinish]]))</f>
        <v/>
      </c>
      <c r="AV123" s="46"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4"/>
      <c r="BA1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5"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6"/>
      <c r="BJ123" s="22"/>
      <c r="BK123" s="46" t="str">
        <f aca="false">IF(OR(Tasks[[#This Row],[Task Name]]="",Tasks[[#This Row],[Baseline Duration]]=""),"",Tasks[[#This Row],[_SpanDays]]-N(Tasks[[#This Row],[Baseline Duration]]))</f>
        <v/>
      </c>
      <c r="BL123" s="85" t="str">
        <f aca="false">IF(OR(Tasks[[#This Row],[Task Name]]="",Tasks[[#This Row],[Baseline Work]]=""),"",Tasks[[#This Row],[Work]]-N(Tasks[[#This Row],[Baseline Work]]))</f>
        <v/>
      </c>
      <c r="BM123" s="62" t="str">
        <f aca="false">IF(Tasks[[#This Row],[Task Name]]="","",IF(OR(TakeBaseline="Yes",N(Tasks[[#This Row],[Baseline Start]])=0),Tasks[[#This Row],[Start]],Tasks[[#This Row],[Baseline Start]]))</f>
        <v/>
      </c>
      <c r="BN123" s="62"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5" t="str">
        <f aca="false">IF(Tasks[[#This Row],[Task Name]]="","",IF(OR(TakeBaseline="Yes",N(Tasks[[#This Row],[Baseline Work]])=0),Tasks[[#This Row],[Work]],Tasks[[#This Row],[Baseline Work]]))</f>
        <v/>
      </c>
      <c r="BQ123" s="7"/>
      <c r="BR123" s="7"/>
      <c r="BS123" s="22"/>
      <c r="BT123" s="87"/>
      <c r="BU123" s="42" t="str">
        <f aca="false">IF(Tasks[[#This Row],[Task Name]]="","",MAX(1,N(Tasks[[#This Row],[Level]])))</f>
        <v/>
      </c>
      <c r="BV123" s="42" t="n">
        <f aca="false">ROW()-ROW(Tasks[[#Headers],[ID]])</f>
        <v>118</v>
      </c>
      <c r="BW123" s="42" t="n">
        <f aca="false">IF(OR(Tasks[[#This Row],[Task Name]]="",Tasks[[#This Row],[_Level]]&lt;=1),0,IFERROR(LOOKUP(2,1/(Tasks[[#Headers],[_Level]]:Tasks[[#This Row],[_Level]]=Tasks[[#This Row],[_Level]]-1),ROW(Tasks[[#Headers],[_Level]]:Tasks[[#This Row],[_Level]])),0))</f>
        <v>0</v>
      </c>
      <c r="BX123" s="42" t="n">
        <f aca="false">IFERROR(N(INDEX(Tasks[_Level],Tasks[[#This Row],[_Row]]+1)),0)</f>
        <v>0</v>
      </c>
      <c r="BY123" s="88" t="b">
        <f aca="false">AND(Tasks[[#This Row],[Task Name]]&lt;&gt;"",Tasks[[#This Row],[_NextLevel]]&gt;Tasks[[#This Row],[_Level]])</f>
        <v>0</v>
      </c>
      <c r="BZ123" s="42" t="n">
        <f aca="false">IF(Tasks[[#This Row],[_IsSummary]],COUNTIF(Tasks[WBS],Tasks[[#This Row],[WBS]]&amp;".*"),0)</f>
        <v>0</v>
      </c>
      <c r="CA123" s="42" t="n">
        <f aca="false">IF(AND(Tasks[[#This Row],[Task Name]]&lt;&gt;"",NOT(Tasks[[#This Row],[_IsSummary]])),1,0)</f>
        <v>0</v>
      </c>
      <c r="CB123" s="42" t="n">
        <f aca="false">IF(N(Tasks[[#This Row],[_Pred1UID]])=0,0,IFERROR(MATCH(Tasks[[#This Row],[_Pred1UID]],Tasks[UID],0),-1))</f>
        <v>0</v>
      </c>
      <c r="CC123" s="42" t="n">
        <f aca="false">IF(N(Tasks[[#This Row],[_Pred2UID]])=0,0,IFERROR(MATCH(Tasks[[#This Row],[_Pred2UID]],Tasks[UID],0),-1))</f>
        <v>0</v>
      </c>
      <c r="CD123" s="42" t="n">
        <f aca="false">IF(N(Tasks[[#This Row],[_Pred3UID]])=0,0,IFERROR(MATCH(Tasks[[#This Row],[_Pred3UID]],Tasks[UID],0),-1))</f>
        <v>0</v>
      </c>
      <c r="CE123" s="42" t="n">
        <f aca="false">IF(N(Tasks[[#This Row],[_Pred4UID]])=0,0,IFERROR(MATCH(Tasks[[#This Row],[_Pred4UID]],Tasks[UID],0),-1))</f>
        <v>0</v>
      </c>
      <c r="CF1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3" s="89" t="n">
        <f aca="false">IF(OR(Tasks[[#This Row],[_ConstraintCode]]=2,Tasks[[#This Row],[_ConstraintCode]]=3,Tasks[[#This Row],[_ConstraintCode]]=4,Tasks[[#This Row],[_ConstraintCode]]=6),Tasks[[#This Row],[_ConstraintStart]],0)</f>
        <v>0</v>
      </c>
      <c r="CI123" s="89" t="n">
        <f aca="false">IF(OR(Tasks[[#This Row],[_ConstraintCode]]=2,Tasks[[#This Row],[_ConstraintCode]]=3,Tasks[[#This Row],[_ConstraintCode]]=5,Tasks[[#This Row],[_ConstraintCode]]=7),Tasks[[#This Row],[_ConstraintStart]],2958465)</f>
        <v>2958465</v>
      </c>
      <c r="CJ1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3" s="89" t="str">
        <f aca="false">IF(NOT(Tasks[[#This Row],[_IsLeaf]]=1),"",IF(N(Tasks[[#This Row],[_Days]])&lt;=0,Tasks[[#This Row],[_LeafCalcStart]],WORKDAY.INTL(Tasks[[#This Row],[_LeafCalcStart]],Tasks[[#This Row],[_Days]]-1,WorkWeek,Holidays)))</f>
        <v/>
      </c>
      <c r="CL1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3" s="42" t="str">
        <f aca="false">IF(Tasks[[#This Row],[_Predecessors]]="","",TRIM(MID(SUBSTITUTE(SUBSTITUTE(SUBSTITUTE(UPPER(Tasks[[#This Row],[_Predecessors]]),";",",")," ",""),",",REPT(" ",99)),1,99)))</f>
        <v/>
      </c>
      <c r="CO123" s="42" t="str">
        <f aca="false">IF(Tasks[[#This Row],[_Pred1Text]]="","",IFERROR(VALUE(LEFT(Tasks[[#This Row],[_Pred1Text]],MIN(FIND("F",Tasks[[#This Row],[_Pred1Text]]&amp;"F"),FIND("S",Tasks[[#This Row],[_Pred1Text]]&amp;"S"),FIND("+",Tasks[[#This Row],[_Pred1Text]]&amp;"+"),FIND("-",Tasks[[#This Row],[_Pred1Text]]&amp;"-"))-1)),""))</f>
        <v/>
      </c>
      <c r="CP1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3" s="42" t="str">
        <f aca="false">IF(Tasks[[#This Row],[_Pred1Text]]="","",TRIM(MID(SUBSTITUTE(SUBSTITUTE(SUBSTITUTE(UPPER(Tasks[[#This Row],[_Predecessors]]),";",",")," ",""),",",REPT(" ",99)),100,99)))</f>
        <v/>
      </c>
      <c r="CS123" s="42" t="str">
        <f aca="false">IF(Tasks[[#This Row],[_Pred2Text]]="","",IFERROR(VALUE(LEFT(Tasks[[#This Row],[_Pred2Text]],MIN(FIND("F",Tasks[[#This Row],[_Pred2Text]]&amp;"F"),FIND("S",Tasks[[#This Row],[_Pred2Text]]&amp;"S"),FIND("+",Tasks[[#This Row],[_Pred2Text]]&amp;"+"),FIND("-",Tasks[[#This Row],[_Pred2Text]]&amp;"-"))-1)),""))</f>
        <v/>
      </c>
      <c r="CT1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3" s="42" t="str">
        <f aca="false">IF(Tasks[[#This Row],[_Pred2Text]]="","",TRIM(MID(SUBSTITUTE(SUBSTITUTE(SUBSTITUTE(UPPER(Tasks[[#This Row],[_Predecessors]]),";",",")," ",""),",",REPT(" ",99)),199,99)))</f>
        <v/>
      </c>
      <c r="CW123" s="42" t="str">
        <f aca="false">IF(Tasks[[#This Row],[_Pred3Text]]="","",IFERROR(VALUE(LEFT(Tasks[[#This Row],[_Pred3Text]],MIN(FIND("F",Tasks[[#This Row],[_Pred3Text]]&amp;"F"),FIND("S",Tasks[[#This Row],[_Pred3Text]]&amp;"S"),FIND("+",Tasks[[#This Row],[_Pred3Text]]&amp;"+"),FIND("-",Tasks[[#This Row],[_Pred3Text]]&amp;"-"))-1)),""))</f>
        <v/>
      </c>
      <c r="CX1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3" s="42" t="str">
        <f aca="false">IF(Tasks[[#This Row],[_Pred3Text]]="","",TRIM(MID(SUBSTITUTE(SUBSTITUTE(SUBSTITUTE(UPPER(Tasks[[#This Row],[_Predecessors]]),";",",")," ",""),",",REPT(" ",99)),298,99)))</f>
        <v/>
      </c>
      <c r="DA123" s="42" t="str">
        <f aca="false">IF(Tasks[[#This Row],[_Pred4Text]]="","",IFERROR(VALUE(LEFT(Tasks[[#This Row],[_Pred4Text]],MIN(FIND("F",Tasks[[#This Row],[_Pred4Text]]&amp;"F"),FIND("S",Tasks[[#This Row],[_Pred4Text]]&amp;"S"),FIND("+",Tasks[[#This Row],[_Pred4Text]]&amp;"+"),FIND("-",Tasks[[#This Row],[_Pred4Text]]&amp;"-"))-1)),""))</f>
        <v/>
      </c>
      <c r="DB1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3" s="42" t="str">
        <f aca="false">IF(OR(Tasks[[#This Row],[Task Name]]="",Tasks[[#This Row],[_Resources]]=""),"",TRIM(MID(SUBSTITUTE(Tasks[[#This Row],[_Resources]],",",REPT(" ",99)),1,99)))</f>
        <v/>
      </c>
      <c r="DE123" s="42" t="str">
        <f aca="false">IF(Tasks[[#This Row],[_Res1Text]]="","",TRIM(MID(SUBSTITUTE(Tasks[[#This Row],[_Resources]],",",REPT(" ",99)),100,99)))</f>
        <v/>
      </c>
      <c r="DF123" s="42" t="str">
        <f aca="false">IF(Tasks[[#This Row],[_Res2Text]]="","",TRIM(MID(SUBSTITUTE(Tasks[[#This Row],[_Resources]],",",REPT(" ",99)),199,99)))</f>
        <v/>
      </c>
      <c r="DG123" s="42" t="str">
        <f aca="false">IF(Tasks[[#This Row],[_Res3Text]]="","",TRIM(MID(SUBSTITUTE(Tasks[[#This Row],[_Resources]],",",REPT(" ",99)),298,99)))</f>
        <v/>
      </c>
      <c r="DH123" s="42" t="n">
        <f aca="false">IF(Tasks[[#This Row],[_Res1Text]]="",0,IFERROR(MATCH(TRIM(LEFT(Tasks[[#This Row],[_Res1Text]],FIND("[",Tasks[[#This Row],[_Res1Text]]&amp;"[")-1)),res_Name,0),IFERROR(MATCH(TRIM(LEFT(Tasks[[#This Row],[_Res1Text]],FIND("[",Tasks[[#This Row],[_Res1Text]]&amp;"[")-1)),res_Initials,0),0)))</f>
        <v>0</v>
      </c>
      <c r="DI123" s="42" t="n">
        <f aca="false">IF(Tasks[[#This Row],[_Res2Text]]="",0,IFERROR(MATCH(TRIM(LEFT(Tasks[[#This Row],[_Res2Text]],FIND("[",Tasks[[#This Row],[_Res2Text]]&amp;"[")-1)),res_Name,0),IFERROR(MATCH(TRIM(LEFT(Tasks[[#This Row],[_Res2Text]],FIND("[",Tasks[[#This Row],[_Res2Text]]&amp;"[")-1)),res_Initials,0),0)))</f>
        <v>0</v>
      </c>
      <c r="DJ123" s="42" t="n">
        <f aca="false">IF(Tasks[[#This Row],[_Res3Text]]="",0,IFERROR(MATCH(TRIM(LEFT(Tasks[[#This Row],[_Res3Text]],FIND("[",Tasks[[#This Row],[_Res3Text]]&amp;"[")-1)),res_Name,0),IFERROR(MATCH(TRIM(LEFT(Tasks[[#This Row],[_Res3Text]],FIND("[",Tasks[[#This Row],[_Res3Text]]&amp;"[")-1)),res_Initials,0),0)))</f>
        <v>0</v>
      </c>
      <c r="DK123" s="42" t="n">
        <f aca="false">IF(Tasks[[#This Row],[_Res4Text]]="",0,IFERROR(MATCH(TRIM(LEFT(Tasks[[#This Row],[_Res4Text]],FIND("[",Tasks[[#This Row],[_Res4Text]]&amp;"[")-1)),res_Name,0),IFERROR(MATCH(TRIM(LEFT(Tasks[[#This Row],[_Res4Text]],FIND("[",Tasks[[#This Row],[_Res4Text]]&amp;"[")-1)),res_Initials,0),0)))</f>
        <v>0</v>
      </c>
      <c r="DL123" s="42" t="str">
        <f aca="false">IF(Tasks[[#This Row],[_Res1Text]]="","",IF(Tasks[[#This Row],[_Res1Row]]&gt;0,INDEX(res_Name,Tasks[[#This Row],[_Res1Row]]),TRIM(LEFT(Tasks[[#This Row],[_Res1Text]],FIND("[",Tasks[[#This Row],[_Res1Text]]&amp;"[")-1))))</f>
        <v/>
      </c>
      <c r="DM1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3" s="42" t="n">
        <f aca="false">IF(NOT(Tasks[[#This Row],[_IsLeaf]]=1),0,(Tasks[[#This Row],[_Resource1]]&lt;&gt;"")+(Tasks[[#This Row],[_Res2]]&lt;&gt;"")+(Tasks[[#This Row],[_Res3]]&lt;&gt;"")+(Tasks[[#This Row],[_Res4]]&lt;&gt;""))</f>
        <v>0</v>
      </c>
      <c r="DO123" s="42" t="str">
        <f aca="false">IF(Tasks[[#This Row],[_Res2Text]]="","",IF(Tasks[[#This Row],[_Res2Row]]&gt;0,INDEX(res_Name,Tasks[[#This Row],[_Res2Row]]),TRIM(LEFT(Tasks[[#This Row],[_Res2Text]],FIND("[",Tasks[[#This Row],[_Res2Text]]&amp;"[")-1))))</f>
        <v/>
      </c>
      <c r="DP1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3" s="42" t="n">
        <f aca="false">IF(OR(NOT(Tasks[[#This Row],[_IsLeaf]]=1),Tasks[[#This Row],[_Res2Row]]=0),0,N(Tasks[[#This Row],[_Days]])*HoursPerDay*IF(Tasks[[#This Row],[_Res2Units]]="",DefaultUnits,Tasks[[#This Row],[_Res2Units]]))</f>
        <v>0</v>
      </c>
      <c r="DR123" s="42" t="n">
        <f aca="false">IF(AND(AND(Tasks[[#This Row],[_IsLeaf]]=1,Tasks[[#This Row],[_LeafTotalWork]]&gt;0),Tasks[[#This Row],[_Res2Work]]&gt;0),Tasks[[#This Row],[_Res2Work]]/(Tasks[[#This Row],[_FinishWorkday]]-Tasks[[#This Row],[_StartWorkday]]+1),0)</f>
        <v>0</v>
      </c>
      <c r="DS123" s="42" t="n">
        <f aca="false">Tasks[[#This Row],[_Res2WorkPerWD]]*MAX(0,Tasks[[#This Row],[_StartWorkday]]-1)</f>
        <v>0</v>
      </c>
      <c r="DT123" s="42" t="n">
        <f aca="false">Tasks[[#This Row],[_Res2Work]]*Tasks[[#This Row],[_LeafProgress]]</f>
        <v>0</v>
      </c>
      <c r="DU123" s="42" t="str">
        <f aca="false">IF(Tasks[[#This Row],[_Res3Text]]="","",IF(Tasks[[#This Row],[_Res3Row]]&gt;0,INDEX(res_Name,Tasks[[#This Row],[_Res3Row]]),TRIM(LEFT(Tasks[[#This Row],[_Res3Text]],FIND("[",Tasks[[#This Row],[_Res3Text]]&amp;"[")-1))))</f>
        <v/>
      </c>
      <c r="DV1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3" s="42" t="n">
        <f aca="false">IF(OR(NOT(Tasks[[#This Row],[_IsLeaf]]=1),Tasks[[#This Row],[_Res3Row]]=0),0,N(Tasks[[#This Row],[_Days]])*HoursPerDay*IF(Tasks[[#This Row],[_Res3Units]]="",DefaultUnits,Tasks[[#This Row],[_Res3Units]]))</f>
        <v>0</v>
      </c>
      <c r="DX123" s="42" t="n">
        <f aca="false">IF(AND(AND(Tasks[[#This Row],[_IsLeaf]]=1,Tasks[[#This Row],[_LeafTotalWork]]&gt;0),Tasks[[#This Row],[_Res3Work]]&gt;0),Tasks[[#This Row],[_Res3Work]]/(Tasks[[#This Row],[_FinishWorkday]]-Tasks[[#This Row],[_StartWorkday]]+1),0)</f>
        <v>0</v>
      </c>
      <c r="DY123" s="42" t="n">
        <f aca="false">Tasks[[#This Row],[_Res3WorkPerWD]]*MAX(0,Tasks[[#This Row],[_StartWorkday]]-1)</f>
        <v>0</v>
      </c>
      <c r="DZ123" s="42" t="n">
        <f aca="false">Tasks[[#This Row],[_Res3Work]]*Tasks[[#This Row],[_LeafProgress]]</f>
        <v>0</v>
      </c>
      <c r="EA123" s="42" t="str">
        <f aca="false">IF(Tasks[[#This Row],[_Res4Text]]="","",IF(Tasks[[#This Row],[_Res4Row]]&gt;0,INDEX(res_Name,Tasks[[#This Row],[_Res4Row]]),TRIM(LEFT(Tasks[[#This Row],[_Res4Text]],FIND("[",Tasks[[#This Row],[_Res4Text]]&amp;"[")-1))))</f>
        <v/>
      </c>
      <c r="EB1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3" s="42" t="n">
        <f aca="false">IF(OR(NOT(Tasks[[#This Row],[_IsLeaf]]=1),Tasks[[#This Row],[_Res4Row]]=0),0,N(Tasks[[#This Row],[_Days]])*HoursPerDay*IF(Tasks[[#This Row],[_Res4Units]]="",DefaultUnits,Tasks[[#This Row],[_Res4Units]]))</f>
        <v>0</v>
      </c>
      <c r="ED123" s="42" t="n">
        <f aca="false">IF(AND(AND(Tasks[[#This Row],[_IsLeaf]]=1,Tasks[[#This Row],[_LeafTotalWork]]&gt;0),Tasks[[#This Row],[_Res4Work]]&gt;0),Tasks[[#This Row],[_Res4Work]]/(Tasks[[#This Row],[_FinishWorkday]]-Tasks[[#This Row],[_StartWorkday]]+1),0)</f>
        <v>0</v>
      </c>
      <c r="EE123" s="42" t="n">
        <f aca="false">Tasks[[#This Row],[_Res4WorkPerWD]]*MAX(0,Tasks[[#This Row],[_StartWorkday]]-1)</f>
        <v>0</v>
      </c>
      <c r="EF123" s="42" t="n">
        <f aca="false">Tasks[[#This Row],[_Res4Work]]*Tasks[[#This Row],[_LeafProgress]]</f>
        <v>0</v>
      </c>
      <c r="EG123" s="42" t="n">
        <f aca="false">IF(ISNUMBER(Tasks[[#This Row],[% Complete]]),Tasks[[#This Row],[% Complete]],IF(Tasks[[#This Row],[Stage]]="",0,IFERROR(INDEX(stg_Pct,MATCH(Tasks[[#This Row],[Stage]],stg_Name,0)),0)))</f>
        <v>0</v>
      </c>
      <c r="EH123" s="42" t="n">
        <f aca="false">IF(NOT(Tasks[[#This Row],[_IsLeaf]]=1),0,IF(N(Tasks[[#This Row],[Actual Finish]])&gt;0,1,MIN(1,Tasks[[#This Row],[_Pct]])))</f>
        <v>0</v>
      </c>
      <c r="EI123" s="42" t="n">
        <f aca="false">IF(OR(NOT(Tasks[[#This Row],[_IsLeaf]]=1),Tasks[[#This Row],[_Res1Row]]=0),0,N(Tasks[[#This Row],[_Days]])*HoursPerDay*IF(Tasks[[#This Row],[_Units1]]="",DefaultUnits,Tasks[[#This Row],[_Units1]]))</f>
        <v>0</v>
      </c>
      <c r="EJ123" s="42" t="n">
        <f aca="false">Tasks[[#This Row],[_LeafWork]]+Tasks[[#This Row],[_Res2Work]]+Tasks[[#This Row],[_Res3Work]]+Tasks[[#This Row],[_Res4Work]]</f>
        <v>0</v>
      </c>
      <c r="EK1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3" s="42" t="n">
        <f aca="false">IF(NOT(Tasks[[#This Row],[_IsLeaf]]=1),0,MAX(_xlfn.MAXIFS(Tasks[_Row],Tasks[_Pred1UID],Tasks[[#This Row],[UID]]),_xlfn.MAXIFS(Tasks[_Row],Tasks[_Pred2UID],Tasks[[#This Row],[UID]]),_xlfn.MAXIFS(Tasks[_Row],Tasks[_Pred3UID],Tasks[[#This Row],[UID]]),_xlfn.MAXIFS(Tasks[_Row],Tasks[_Pred4UID],Tasks[[#This Row],[UID]])))</f>
        <v>0</v>
      </c>
      <c r="ET1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3" s="89" t="str">
        <f aca="false">IF(NOT(Tasks[[#This Row],[_IsLeaf]]=1),"",IF(N(Tasks[[#This Row],[_Days]])&lt;=0,Tasks[[#This Row],[_LeafLateFinish]],WORKDAY.INTL(Tasks[[#This Row],[_LeafLateFinish]],-(Tasks[[#This Row],[_Days]]-1),WorkWeek,Holidays)))</f>
        <v/>
      </c>
      <c r="EW1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3" s="88" t="b">
        <f aca="false">AND(Tasks[[#This Row],[_IsLeaf]]=1,Tasks[[#This Row],[_LeafProgress]]&lt;1,N(Tasks[[#This Row],[_LeafTotalSlack]])&lt;=CriticalSlackDays)</f>
        <v>0</v>
      </c>
      <c r="EY123" s="42" t="n">
        <f aca="false">IF(AND(Tasks[[#This Row],[_IsLeaf]]=1,Tasks[[#This Row],[_ConstraintCode]]=1,Tasks[[#This Row],[Mode]]&lt;&gt;"Manual",N(Tasks[[#This Row],[Actual Start]])=0),MAX(0,N(Tasks[[#This Row],[Free Slack]])),0)</f>
        <v>0</v>
      </c>
      <c r="EZ123" s="89" t="str">
        <f aca="false">IF(NOT(Tasks[[#This Row],[_IsLeaf]]=1),"",IF(Tasks[[#This Row],[_AlapShift]]=0,Tasks[[#This Row],[_LeafCalcStart]],WORKDAY.INTL(Tasks[[#This Row],[_LeafCalcStart]],Tasks[[#This Row],[_AlapShift]],WorkWeek,Holidays)))</f>
        <v/>
      </c>
      <c r="FA123" s="89" t="str">
        <f aca="false">IF(NOT(Tasks[[#This Row],[_IsLeaf]]=1),"",IF(Tasks[[#This Row],[_AlapShift]]=0,Tasks[[#This Row],[_LeafCalcFinish]],WORKDAY.INTL(Tasks[[#This Row],[_LeafCalcFinish]],Tasks[[#This Row],[_AlapShift]],WorkWeek,Holidays)))</f>
        <v/>
      </c>
      <c r="FB123" s="89" t="str">
        <f aca="false">IF(NOT(Tasks[[#This Row],[_IsLeaf]]=1),"",IF(Tasks[[#This Row],[_AlapShift]]=0,Tasks[[#This Row],[_LeafFcstStart]],WORKDAY.INTL(Tasks[[#This Row],[_LeafFcstStart]],Tasks[[#This Row],[_AlapShift]],WorkWeek,Holidays)))</f>
        <v/>
      </c>
      <c r="FC123" s="89" t="str">
        <f aca="false">IF(NOT(Tasks[[#This Row],[_IsLeaf]]=1),"",IF(Tasks[[#This Row],[_AlapShift]]=0,Tasks[[#This Row],[_LeafFcstFinish]],WORKDAY.INTL(Tasks[[#This Row],[_LeafFcstFinish]],Tasks[[#This Row],[_AlapShift]],WorkWeek,Holidays)))</f>
        <v/>
      </c>
      <c r="FD123" s="89" t="str">
        <f aca="false">IF(Tasks[[#This Row],[Task Name]]="","",IF(Tasks[[#This Row],[_IsSummary]],MIN(INDEX(Tasks[_ShownCalcStart],Tasks[[#This Row],[_Row]]+1):INDEX(Tasks[_ShownCalcStart],Tasks[[#This Row],[_Row]]+Tasks[[#This Row],[_Descendants]])),Tasks[[#This Row],[_ShownCalcStart]]))</f>
        <v/>
      </c>
      <c r="FE123" s="89" t="str">
        <f aca="false">IF(Tasks[[#This Row],[Task Name]]="","",IF(Tasks[[#This Row],[_IsSummary]],MAX(INDEX(Tasks[_ShownCalcFinish],Tasks[[#This Row],[_Row]]+1):INDEX(Tasks[_ShownCalcFinish],Tasks[[#This Row],[_Row]]+Tasks[[#This Row],[_Descendants]])),Tasks[[#This Row],[_ShownCalcFinish]]))</f>
        <v/>
      </c>
      <c r="FF1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3" s="42" t="n">
        <f aca="false">IF(AND(Tasks[[#This Row],[_IsLeaf]]=1,Tasks[[#This Row],[_LeafTotalWork]]&gt;0),NETWORKDAYS.INTL(ProjectStart,Tasks[[#This Row],[_ShownFcstStart]],WorkWeek,Holidays),0)</f>
        <v>0</v>
      </c>
      <c r="FS123" s="42" t="n">
        <f aca="false">IF(AND(Tasks[[#This Row],[_IsLeaf]]=1,Tasks[[#This Row],[_LeafTotalWork]]&gt;0),MAX(Tasks[[#This Row],[_StartWorkday]],NETWORKDAYS.INTL(ProjectStart,Tasks[[#This Row],[_ShownFcstFinish]],WorkWeek,Holidays)),0)</f>
        <v>0</v>
      </c>
      <c r="FT123" s="42" t="n">
        <f aca="false">IF(AND(Tasks[[#This Row],[_IsLeaf]]=1,Tasks[[#This Row],[_LeafTotalWork]]&gt;0),Tasks[[#This Row],[_LeafWork]]/(Tasks[[#This Row],[_FinishWorkday]]-Tasks[[#This Row],[_StartWorkday]]+1),0)</f>
        <v>0</v>
      </c>
      <c r="FU123" s="42" t="n">
        <f aca="false">Tasks[[#This Row],[_WorkPerWorkday]]*(Tasks[[#This Row],[_StartWorkday]]-1)</f>
        <v>-0</v>
      </c>
      <c r="FV123" s="42" t="n">
        <f aca="false">IF(Tasks[[#This Row],[_IsLeaf]]=1,MAX(N(Tasks[[#This Row],[_Days]]),0.1),0)</f>
        <v>0</v>
      </c>
      <c r="FW123" s="42" t="n">
        <f aca="false">Tasks[[#This Row],[_WeightDur]]*Tasks[[#This Row],[_LeafProgress]]</f>
        <v>0</v>
      </c>
      <c r="FX123" s="42" t="n">
        <f aca="false">Tasks[[#This Row],[_WeightDur]]*Tasks[[#This Row],[_PlannedPct]]</f>
        <v>0</v>
      </c>
      <c r="FY1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3" s="42" t="str">
        <f aca="false">IF(AND(Tasks[[#This Row],[_IsLeaf]]=1,N(Tasks[[#This Row],[_Days]])=0,Tasks[[#This Row],[_LeafProgress]]&lt;1),Tasks[[#This Row],[_ShownFcstFinish]]+Tasks[[#This Row],[_Row]]/100000,"")</f>
        <v/>
      </c>
      <c r="GA1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3" s="42" t="str">
        <f aca="false">IF(Tasks[[#This Row],[Task Name]]="","",LEFT(Tasks[[#This Row],[WBS]],FIND(".",Tasks[[#This Row],[WBS]]&amp;".")-1))</f>
        <v/>
      </c>
      <c r="GC123" s="42" t="str">
        <f aca="false">IF(AND(Tasks[[#This Row],[Task Name]]&lt;&gt;"",Tasks[[#This Row],[_Level]]=1),Tasks[[#This Row],[_Row]],"")</f>
        <v/>
      </c>
      <c r="GD123" s="42" t="str">
        <f aca="false">IF(AND(Tasks[[#This Row],[_IsLeaf]]=1,N(Tasks[[#This Row],[_Days]])=0),Tasks[[#This Row],[Planned Finish]]+Tasks[[#This Row],[_Row]]/100000,"")</f>
        <v/>
      </c>
      <c r="GE123" s="42" t="str">
        <f aca="false">IF(AND(Tasks[[#This Row],[_IsLeaf]]=1,Tasks[[#This Row],[_LeafProgress]]&lt;1,OR(N(Tasks[[#This Row],[Finish Var]])&gt;0,Tasks[[#This Row],[Status]]="Late Start")),MAX(0,Tasks[[#This Row],[Finish Var]])+1-Tasks[[#This Row],[_Row]]/1000000,"")</f>
        <v/>
      </c>
      <c r="GF123" s="42" t="str">
        <f aca="false">IF(AND(Tasks[[#This Row],[_IsLeaf]]=1,N(Tasks[[#This Row],[Actual Start]])=0,Tasks[[#This Row],[_ShownFcstStart]]&gt;=StatusDate,Tasks[[#This Row],[_ShownFcstStart]]&lt;=LookaheadEnd),Tasks[[#This Row],[_ShownFcstStart]]+Tasks[[#This Row],[_Row]]/100000,"")</f>
        <v/>
      </c>
      <c r="GG123" s="42" t="str">
        <f aca="false">IF(AND(Tasks[[#This Row],[_IsLeaf]]=1,Tasks[[#This Row],[_LeafProgress]]&lt;1,Tasks[[#This Row],[_ShownFcstFinish]]&gt;=StatusDate,Tasks[[#This Row],[_ShownFcstFinish]]&lt;=LookaheadEnd),Tasks[[#This Row],[_ShownFcstFinish]]+Tasks[[#This Row],[_Row]]/100000,"")</f>
        <v/>
      </c>
      <c r="GH123" s="42" t="str">
        <f aca="false">IF(Tasks[[#This Row],[_LeafCritical]],Tasks[[#This Row],[_ShownFcstStart]]+Tasks[[#This Row],[_Row]]/100000,"")</f>
        <v/>
      </c>
      <c r="GI123" s="42" t="n">
        <f aca="false">Tasks[[#This Row],[_LeafWork]]*Tasks[[#This Row],[_LeafProgress]]</f>
        <v>0</v>
      </c>
      <c r="GJ123" s="89" t="str">
        <f aca="false">IF(AND(Tasks[[#This Row],[_IsLeaf]]=1,Tasks[[#This Row],[_LeafProgress]]&gt;=1),IF(N(Tasks[[#This Row],[Actual Finish]])&gt;0,Tasks[[#This Row],[Actual Finish]],Tasks[[#This Row],[_ShownFcstFinish]]),"")</f>
        <v/>
      </c>
      <c r="GK123" s="42" t="n">
        <f aca="false">IF(Tasks[[#This Row],[_IsLeaf]]=1,N(Tasks[[#This Row],[Story Points]]),0)</f>
        <v>0</v>
      </c>
      <c r="GL123" s="42" t="str">
        <f aca="false">""</f>
        <v/>
      </c>
      <c r="GM123" s="88" t="b">
        <f aca="false">IF(Tasks[[#This Row],[Task Name]]="",FALSE(),AND(Tasks[[#This Row],[_IsLeaf]]=1,N(Tasks[[#This Row],[_Days]])=0))</f>
        <v>0</v>
      </c>
      <c r="GN123" s="89" t="n">
        <f aca="false">IF(Tasks[[#This Row],[Task Name]]="",0,IF(AND(Tasks[[#This Row],[_IsLeaf]]=1,NOT(Tasks[[#This Row],[_IsMilestone]]),N(Tasks[[#This Row],[Progress]])&gt;0),Tasks[[#This Row],[Start]],0))</f>
        <v>0</v>
      </c>
      <c r="GO123" s="89" t="n">
        <f aca="false">IF(Tasks[[#This Row],[_DoneFrom]]=0,0,IF(Tasks[[#This Row],[Progress]]&gt;=1,Tasks[[#This Row],[Finish]],MAX(Tasks[[#This Row],[_DoneFrom]],Tasks[[#This Row],[Start]]+ROUND((Tasks[[#This Row],[Finish]]-Tasks[[#This Row],[Start]]+1)*Tasks[[#This Row],[Progress]],0)-1)))</f>
        <v>0</v>
      </c>
      <c r="GP123" s="89" t="n">
        <f aca="false">IF(Tasks[[#This Row],[Task Name]]="",0,IF(OR(NOT(Tasks[[#This Row],[_IsLeaf]]=1),Tasks[[#This Row],[_IsMilestone]],N(Tasks[[#This Row],[Progress]])&gt;=1),0,IF(Tasks[[#This Row],[_DoneTo]]&gt;0,Tasks[[#This Row],[_DoneTo]]+1,Tasks[[#This Row],[Start]])))</f>
        <v>0</v>
      </c>
      <c r="GQ123" s="89" t="n">
        <f aca="false">IF(Tasks[[#This Row],[_RemFrom]]=0,0,Tasks[[#This Row],[Finish]])</f>
        <v>0</v>
      </c>
      <c r="GR123" s="88" t="b">
        <f aca="false">IF(Tasks[[#This Row],[Task Name]]="",FALSE(),OR(NOT(BaselineSet),N(Tasks[[#This Row],[Baseline Start]])&gt;0))</f>
        <v>0</v>
      </c>
      <c r="GS1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3" s="90" t="str">
        <f aca="false">IF(Tasks[[#This Row],[_IsLeaf]]=1,Tasks[[#This Row],[_Row]],"")</f>
        <v/>
      </c>
      <c r="GW123" s="90" t="str">
        <f aca="false">IFERROR(INDEX(Tasks[UID],SMALL(Tasks[_PickKey],Tasks[[#This Row],[_Row]]))&amp;" "&amp;INDEX(Tasks[Task Name],SMALL(Tasks[_PickKey],Tasks[[#This Row],[_Row]])),"")</f>
        <v/>
      </c>
      <c r="GX123" s="42" t="str">
        <f aca="false">IF(Tasks[[#This Row],[Task Name]]="","",IF(Tasks[[#This Row],[_IsSummary]],NETWORKDAYS.INTL(Tasks[[#This Row],[Start]],Tasks[[#This Row],[Finish]],WorkWeek,Holidays),N(Tasks[[#This Row],[_Days]])))</f>
        <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3"/>
      <c r="U124" s="23"/>
      <c r="V124" s="83"/>
      <c r="W124" s="23"/>
      <c r="X124" s="83"/>
      <c r="Y124" s="23"/>
      <c r="Z124" s="83"/>
      <c r="AA124" s="23"/>
      <c r="AB124" s="23"/>
      <c r="AC124" s="7"/>
      <c r="AD124" s="7"/>
      <c r="AE124" s="62" t="str">
        <f aca="false">IF(Tasks[[#This Row],[Task Name]]="","",IF(Tasks[[#This Row],[_IsSummary]],MIN(INDEX(Tasks[_ShownFcstStart],Tasks[[#This Row],[_Row]]+1):INDEX(Tasks[_ShownFcstStart],Tasks[[#This Row],[_Row]]+Tasks[[#This Row],[_Descendants]])),Tasks[[#This Row],[_ShownFcstStart]]))</f>
        <v/>
      </c>
      <c r="AF124" s="62"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4" s="7"/>
      <c r="AK124" s="22"/>
      <c r="AL124" s="23"/>
      <c r="AM124" s="7"/>
      <c r="AN124" s="46"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2" t="str">
        <f aca="false">IF(Tasks[[#This Row],[Task Name]]="","",IF(N(Tasks[[#This Row],[Baseline Start]])&gt;0,Tasks[[#This Row],[Baseline Start]],Tasks[[#This Row],[_CalcStart]]))</f>
        <v/>
      </c>
      <c r="AR124" s="62" t="str">
        <f aca="false">IF(Tasks[[#This Row],[Task Name]]="","",IF(N(Tasks[[#This Row],[Baseline Finish]])&gt;0,Tasks[[#This Row],[Baseline Finish]],Tasks[[#This Row],[_CalcFinish]]))</f>
        <v/>
      </c>
      <c r="AS124" s="46" t="str">
        <f aca="false">IF(Tasks[[#This Row],[Task Name]]="","",IF(Tasks[[#This Row],[Start]]&gt;=Tasks[[#This Row],[Planned Start]],NETWORKDAYS.INTL(Tasks[[#This Row],[Planned Start]],Tasks[[#This Row],[Start]],WorkWeek,Holidays)-1,1-NETWORKDAYS.INTL(Tasks[[#This Row],[Start]],Tasks[[#This Row],[Planned Start]],WorkWeek,Holidays)))</f>
        <v/>
      </c>
      <c r="AT124" s="62" t="str">
        <f aca="false">IF(Tasks[[#This Row],[Task Name]]="","",IF(Tasks[[#This Row],[_IsSummary]],MIN(INDEX(Tasks[_LeafLateStart],Tasks[[#This Row],[_Row]]+1):INDEX(Tasks[_LeafLateStart],Tasks[[#This Row],[_Row]]+Tasks[[#This Row],[_Descendants]])),Tasks[[#This Row],[_LeafLateStart]]))</f>
        <v/>
      </c>
      <c r="AU124" s="62" t="str">
        <f aca="false">IF(Tasks[[#This Row],[Task Name]]="","",IF(Tasks[[#This Row],[_IsSummary]],MAX(INDEX(Tasks[_LeafLateFinish],Tasks[[#This Row],[_Row]]+1):INDEX(Tasks[_LeafLateFinish],Tasks[[#This Row],[_Row]]+Tasks[[#This Row],[_Descendants]])),Tasks[[#This Row],[_LeafLateFinish]]))</f>
        <v/>
      </c>
      <c r="AV124" s="46"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4"/>
      <c r="BA1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5"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6"/>
      <c r="BJ124" s="22"/>
      <c r="BK124" s="46" t="str">
        <f aca="false">IF(OR(Tasks[[#This Row],[Task Name]]="",Tasks[[#This Row],[Baseline Duration]]=""),"",Tasks[[#This Row],[_SpanDays]]-N(Tasks[[#This Row],[Baseline Duration]]))</f>
        <v/>
      </c>
      <c r="BL124" s="85" t="str">
        <f aca="false">IF(OR(Tasks[[#This Row],[Task Name]]="",Tasks[[#This Row],[Baseline Work]]=""),"",Tasks[[#This Row],[Work]]-N(Tasks[[#This Row],[Baseline Work]]))</f>
        <v/>
      </c>
      <c r="BM124" s="62" t="str">
        <f aca="false">IF(Tasks[[#This Row],[Task Name]]="","",IF(OR(TakeBaseline="Yes",N(Tasks[[#This Row],[Baseline Start]])=0),Tasks[[#This Row],[Start]],Tasks[[#This Row],[Baseline Start]]))</f>
        <v/>
      </c>
      <c r="BN124" s="62"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5" t="str">
        <f aca="false">IF(Tasks[[#This Row],[Task Name]]="","",IF(OR(TakeBaseline="Yes",N(Tasks[[#This Row],[Baseline Work]])=0),Tasks[[#This Row],[Work]],Tasks[[#This Row],[Baseline Work]]))</f>
        <v/>
      </c>
      <c r="BQ124" s="7"/>
      <c r="BR124" s="7"/>
      <c r="BS124" s="22"/>
      <c r="BT124" s="87"/>
      <c r="BU124" s="42" t="str">
        <f aca="false">IF(Tasks[[#This Row],[Task Name]]="","",MAX(1,N(Tasks[[#This Row],[Level]])))</f>
        <v/>
      </c>
      <c r="BV124" s="42" t="n">
        <f aca="false">ROW()-ROW(Tasks[[#Headers],[ID]])</f>
        <v>119</v>
      </c>
      <c r="BW124" s="42" t="n">
        <f aca="false">IF(OR(Tasks[[#This Row],[Task Name]]="",Tasks[[#This Row],[_Level]]&lt;=1),0,IFERROR(LOOKUP(2,1/(Tasks[[#Headers],[_Level]]:Tasks[[#This Row],[_Level]]=Tasks[[#This Row],[_Level]]-1),ROW(Tasks[[#Headers],[_Level]]:Tasks[[#This Row],[_Level]])),0))</f>
        <v>0</v>
      </c>
      <c r="BX124" s="42" t="n">
        <f aca="false">IFERROR(N(INDEX(Tasks[_Level],Tasks[[#This Row],[_Row]]+1)),0)</f>
        <v>0</v>
      </c>
      <c r="BY124" s="88" t="b">
        <f aca="false">AND(Tasks[[#This Row],[Task Name]]&lt;&gt;"",Tasks[[#This Row],[_NextLevel]]&gt;Tasks[[#This Row],[_Level]])</f>
        <v>0</v>
      </c>
      <c r="BZ124" s="42" t="n">
        <f aca="false">IF(Tasks[[#This Row],[_IsSummary]],COUNTIF(Tasks[WBS],Tasks[[#This Row],[WBS]]&amp;".*"),0)</f>
        <v>0</v>
      </c>
      <c r="CA124" s="42" t="n">
        <f aca="false">IF(AND(Tasks[[#This Row],[Task Name]]&lt;&gt;"",NOT(Tasks[[#This Row],[_IsSummary]])),1,0)</f>
        <v>0</v>
      </c>
      <c r="CB124" s="42" t="n">
        <f aca="false">IF(N(Tasks[[#This Row],[_Pred1UID]])=0,0,IFERROR(MATCH(Tasks[[#This Row],[_Pred1UID]],Tasks[UID],0),-1))</f>
        <v>0</v>
      </c>
      <c r="CC124" s="42" t="n">
        <f aca="false">IF(N(Tasks[[#This Row],[_Pred2UID]])=0,0,IFERROR(MATCH(Tasks[[#This Row],[_Pred2UID]],Tasks[UID],0),-1))</f>
        <v>0</v>
      </c>
      <c r="CD124" s="42" t="n">
        <f aca="false">IF(N(Tasks[[#This Row],[_Pred3UID]])=0,0,IFERROR(MATCH(Tasks[[#This Row],[_Pred3UID]],Tasks[UID],0),-1))</f>
        <v>0</v>
      </c>
      <c r="CE124" s="42" t="n">
        <f aca="false">IF(N(Tasks[[#This Row],[_Pred4UID]])=0,0,IFERROR(MATCH(Tasks[[#This Row],[_Pred4UID]],Tasks[UID],0),-1))</f>
        <v>0</v>
      </c>
      <c r="CF1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4" s="89" t="n">
        <f aca="false">IF(OR(Tasks[[#This Row],[_ConstraintCode]]=2,Tasks[[#This Row],[_ConstraintCode]]=3,Tasks[[#This Row],[_ConstraintCode]]=4,Tasks[[#This Row],[_ConstraintCode]]=6),Tasks[[#This Row],[_ConstraintStart]],0)</f>
        <v>0</v>
      </c>
      <c r="CI124" s="89" t="n">
        <f aca="false">IF(OR(Tasks[[#This Row],[_ConstraintCode]]=2,Tasks[[#This Row],[_ConstraintCode]]=3,Tasks[[#This Row],[_ConstraintCode]]=5,Tasks[[#This Row],[_ConstraintCode]]=7),Tasks[[#This Row],[_ConstraintStart]],2958465)</f>
        <v>2958465</v>
      </c>
      <c r="CJ1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4" s="89" t="str">
        <f aca="false">IF(NOT(Tasks[[#This Row],[_IsLeaf]]=1),"",IF(N(Tasks[[#This Row],[_Days]])&lt;=0,Tasks[[#This Row],[_LeafCalcStart]],WORKDAY.INTL(Tasks[[#This Row],[_LeafCalcStart]],Tasks[[#This Row],[_Days]]-1,WorkWeek,Holidays)))</f>
        <v/>
      </c>
      <c r="CL1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4" s="42" t="str">
        <f aca="false">IF(Tasks[[#This Row],[_Predecessors]]="","",TRIM(MID(SUBSTITUTE(SUBSTITUTE(SUBSTITUTE(UPPER(Tasks[[#This Row],[_Predecessors]]),";",",")," ",""),",",REPT(" ",99)),1,99)))</f>
        <v/>
      </c>
      <c r="CO124" s="42" t="str">
        <f aca="false">IF(Tasks[[#This Row],[_Pred1Text]]="","",IFERROR(VALUE(LEFT(Tasks[[#This Row],[_Pred1Text]],MIN(FIND("F",Tasks[[#This Row],[_Pred1Text]]&amp;"F"),FIND("S",Tasks[[#This Row],[_Pred1Text]]&amp;"S"),FIND("+",Tasks[[#This Row],[_Pred1Text]]&amp;"+"),FIND("-",Tasks[[#This Row],[_Pred1Text]]&amp;"-"))-1)),""))</f>
        <v/>
      </c>
      <c r="CP1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4" s="42" t="str">
        <f aca="false">IF(Tasks[[#This Row],[_Pred1Text]]="","",TRIM(MID(SUBSTITUTE(SUBSTITUTE(SUBSTITUTE(UPPER(Tasks[[#This Row],[_Predecessors]]),";",",")," ",""),",",REPT(" ",99)),100,99)))</f>
        <v/>
      </c>
      <c r="CS124" s="42" t="str">
        <f aca="false">IF(Tasks[[#This Row],[_Pred2Text]]="","",IFERROR(VALUE(LEFT(Tasks[[#This Row],[_Pred2Text]],MIN(FIND("F",Tasks[[#This Row],[_Pred2Text]]&amp;"F"),FIND("S",Tasks[[#This Row],[_Pred2Text]]&amp;"S"),FIND("+",Tasks[[#This Row],[_Pred2Text]]&amp;"+"),FIND("-",Tasks[[#This Row],[_Pred2Text]]&amp;"-"))-1)),""))</f>
        <v/>
      </c>
      <c r="CT1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4" s="42" t="str">
        <f aca="false">IF(Tasks[[#This Row],[_Pred2Text]]="","",TRIM(MID(SUBSTITUTE(SUBSTITUTE(SUBSTITUTE(UPPER(Tasks[[#This Row],[_Predecessors]]),";",",")," ",""),",",REPT(" ",99)),199,99)))</f>
        <v/>
      </c>
      <c r="CW124" s="42" t="str">
        <f aca="false">IF(Tasks[[#This Row],[_Pred3Text]]="","",IFERROR(VALUE(LEFT(Tasks[[#This Row],[_Pred3Text]],MIN(FIND("F",Tasks[[#This Row],[_Pred3Text]]&amp;"F"),FIND("S",Tasks[[#This Row],[_Pred3Text]]&amp;"S"),FIND("+",Tasks[[#This Row],[_Pred3Text]]&amp;"+"),FIND("-",Tasks[[#This Row],[_Pred3Text]]&amp;"-"))-1)),""))</f>
        <v/>
      </c>
      <c r="CX1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4" s="42" t="str">
        <f aca="false">IF(Tasks[[#This Row],[_Pred3Text]]="","",TRIM(MID(SUBSTITUTE(SUBSTITUTE(SUBSTITUTE(UPPER(Tasks[[#This Row],[_Predecessors]]),";",",")," ",""),",",REPT(" ",99)),298,99)))</f>
        <v/>
      </c>
      <c r="DA124" s="42" t="str">
        <f aca="false">IF(Tasks[[#This Row],[_Pred4Text]]="","",IFERROR(VALUE(LEFT(Tasks[[#This Row],[_Pred4Text]],MIN(FIND("F",Tasks[[#This Row],[_Pred4Text]]&amp;"F"),FIND("S",Tasks[[#This Row],[_Pred4Text]]&amp;"S"),FIND("+",Tasks[[#This Row],[_Pred4Text]]&amp;"+"),FIND("-",Tasks[[#This Row],[_Pred4Text]]&amp;"-"))-1)),""))</f>
        <v/>
      </c>
      <c r="DB1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4" s="42" t="str">
        <f aca="false">IF(OR(Tasks[[#This Row],[Task Name]]="",Tasks[[#This Row],[_Resources]]=""),"",TRIM(MID(SUBSTITUTE(Tasks[[#This Row],[_Resources]],",",REPT(" ",99)),1,99)))</f>
        <v/>
      </c>
      <c r="DE124" s="42" t="str">
        <f aca="false">IF(Tasks[[#This Row],[_Res1Text]]="","",TRIM(MID(SUBSTITUTE(Tasks[[#This Row],[_Resources]],",",REPT(" ",99)),100,99)))</f>
        <v/>
      </c>
      <c r="DF124" s="42" t="str">
        <f aca="false">IF(Tasks[[#This Row],[_Res2Text]]="","",TRIM(MID(SUBSTITUTE(Tasks[[#This Row],[_Resources]],",",REPT(" ",99)),199,99)))</f>
        <v/>
      </c>
      <c r="DG124" s="42" t="str">
        <f aca="false">IF(Tasks[[#This Row],[_Res3Text]]="","",TRIM(MID(SUBSTITUTE(Tasks[[#This Row],[_Resources]],",",REPT(" ",99)),298,99)))</f>
        <v/>
      </c>
      <c r="DH124" s="42" t="n">
        <f aca="false">IF(Tasks[[#This Row],[_Res1Text]]="",0,IFERROR(MATCH(TRIM(LEFT(Tasks[[#This Row],[_Res1Text]],FIND("[",Tasks[[#This Row],[_Res1Text]]&amp;"[")-1)),res_Name,0),IFERROR(MATCH(TRIM(LEFT(Tasks[[#This Row],[_Res1Text]],FIND("[",Tasks[[#This Row],[_Res1Text]]&amp;"[")-1)),res_Initials,0),0)))</f>
        <v>0</v>
      </c>
      <c r="DI124" s="42" t="n">
        <f aca="false">IF(Tasks[[#This Row],[_Res2Text]]="",0,IFERROR(MATCH(TRIM(LEFT(Tasks[[#This Row],[_Res2Text]],FIND("[",Tasks[[#This Row],[_Res2Text]]&amp;"[")-1)),res_Name,0),IFERROR(MATCH(TRIM(LEFT(Tasks[[#This Row],[_Res2Text]],FIND("[",Tasks[[#This Row],[_Res2Text]]&amp;"[")-1)),res_Initials,0),0)))</f>
        <v>0</v>
      </c>
      <c r="DJ124" s="42" t="n">
        <f aca="false">IF(Tasks[[#This Row],[_Res3Text]]="",0,IFERROR(MATCH(TRIM(LEFT(Tasks[[#This Row],[_Res3Text]],FIND("[",Tasks[[#This Row],[_Res3Text]]&amp;"[")-1)),res_Name,0),IFERROR(MATCH(TRIM(LEFT(Tasks[[#This Row],[_Res3Text]],FIND("[",Tasks[[#This Row],[_Res3Text]]&amp;"[")-1)),res_Initials,0),0)))</f>
        <v>0</v>
      </c>
      <c r="DK124" s="42" t="n">
        <f aca="false">IF(Tasks[[#This Row],[_Res4Text]]="",0,IFERROR(MATCH(TRIM(LEFT(Tasks[[#This Row],[_Res4Text]],FIND("[",Tasks[[#This Row],[_Res4Text]]&amp;"[")-1)),res_Name,0),IFERROR(MATCH(TRIM(LEFT(Tasks[[#This Row],[_Res4Text]],FIND("[",Tasks[[#This Row],[_Res4Text]]&amp;"[")-1)),res_Initials,0),0)))</f>
        <v>0</v>
      </c>
      <c r="DL124" s="42" t="str">
        <f aca="false">IF(Tasks[[#This Row],[_Res1Text]]="","",IF(Tasks[[#This Row],[_Res1Row]]&gt;0,INDEX(res_Name,Tasks[[#This Row],[_Res1Row]]),TRIM(LEFT(Tasks[[#This Row],[_Res1Text]],FIND("[",Tasks[[#This Row],[_Res1Text]]&amp;"[")-1))))</f>
        <v/>
      </c>
      <c r="DM1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4" s="42" t="n">
        <f aca="false">IF(NOT(Tasks[[#This Row],[_IsLeaf]]=1),0,(Tasks[[#This Row],[_Resource1]]&lt;&gt;"")+(Tasks[[#This Row],[_Res2]]&lt;&gt;"")+(Tasks[[#This Row],[_Res3]]&lt;&gt;"")+(Tasks[[#This Row],[_Res4]]&lt;&gt;""))</f>
        <v>0</v>
      </c>
      <c r="DO124" s="42" t="str">
        <f aca="false">IF(Tasks[[#This Row],[_Res2Text]]="","",IF(Tasks[[#This Row],[_Res2Row]]&gt;0,INDEX(res_Name,Tasks[[#This Row],[_Res2Row]]),TRIM(LEFT(Tasks[[#This Row],[_Res2Text]],FIND("[",Tasks[[#This Row],[_Res2Text]]&amp;"[")-1))))</f>
        <v/>
      </c>
      <c r="DP1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4" s="42" t="n">
        <f aca="false">IF(OR(NOT(Tasks[[#This Row],[_IsLeaf]]=1),Tasks[[#This Row],[_Res2Row]]=0),0,N(Tasks[[#This Row],[_Days]])*HoursPerDay*IF(Tasks[[#This Row],[_Res2Units]]="",DefaultUnits,Tasks[[#This Row],[_Res2Units]]))</f>
        <v>0</v>
      </c>
      <c r="DR124" s="42" t="n">
        <f aca="false">IF(AND(AND(Tasks[[#This Row],[_IsLeaf]]=1,Tasks[[#This Row],[_LeafTotalWork]]&gt;0),Tasks[[#This Row],[_Res2Work]]&gt;0),Tasks[[#This Row],[_Res2Work]]/(Tasks[[#This Row],[_FinishWorkday]]-Tasks[[#This Row],[_StartWorkday]]+1),0)</f>
        <v>0</v>
      </c>
      <c r="DS124" s="42" t="n">
        <f aca="false">Tasks[[#This Row],[_Res2WorkPerWD]]*MAX(0,Tasks[[#This Row],[_StartWorkday]]-1)</f>
        <v>0</v>
      </c>
      <c r="DT124" s="42" t="n">
        <f aca="false">Tasks[[#This Row],[_Res2Work]]*Tasks[[#This Row],[_LeafProgress]]</f>
        <v>0</v>
      </c>
      <c r="DU124" s="42" t="str">
        <f aca="false">IF(Tasks[[#This Row],[_Res3Text]]="","",IF(Tasks[[#This Row],[_Res3Row]]&gt;0,INDEX(res_Name,Tasks[[#This Row],[_Res3Row]]),TRIM(LEFT(Tasks[[#This Row],[_Res3Text]],FIND("[",Tasks[[#This Row],[_Res3Text]]&amp;"[")-1))))</f>
        <v/>
      </c>
      <c r="DV1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4" s="42" t="n">
        <f aca="false">IF(OR(NOT(Tasks[[#This Row],[_IsLeaf]]=1),Tasks[[#This Row],[_Res3Row]]=0),0,N(Tasks[[#This Row],[_Days]])*HoursPerDay*IF(Tasks[[#This Row],[_Res3Units]]="",DefaultUnits,Tasks[[#This Row],[_Res3Units]]))</f>
        <v>0</v>
      </c>
      <c r="DX124" s="42" t="n">
        <f aca="false">IF(AND(AND(Tasks[[#This Row],[_IsLeaf]]=1,Tasks[[#This Row],[_LeafTotalWork]]&gt;0),Tasks[[#This Row],[_Res3Work]]&gt;0),Tasks[[#This Row],[_Res3Work]]/(Tasks[[#This Row],[_FinishWorkday]]-Tasks[[#This Row],[_StartWorkday]]+1),0)</f>
        <v>0</v>
      </c>
      <c r="DY124" s="42" t="n">
        <f aca="false">Tasks[[#This Row],[_Res3WorkPerWD]]*MAX(0,Tasks[[#This Row],[_StartWorkday]]-1)</f>
        <v>0</v>
      </c>
      <c r="DZ124" s="42" t="n">
        <f aca="false">Tasks[[#This Row],[_Res3Work]]*Tasks[[#This Row],[_LeafProgress]]</f>
        <v>0</v>
      </c>
      <c r="EA124" s="42" t="str">
        <f aca="false">IF(Tasks[[#This Row],[_Res4Text]]="","",IF(Tasks[[#This Row],[_Res4Row]]&gt;0,INDEX(res_Name,Tasks[[#This Row],[_Res4Row]]),TRIM(LEFT(Tasks[[#This Row],[_Res4Text]],FIND("[",Tasks[[#This Row],[_Res4Text]]&amp;"[")-1))))</f>
        <v/>
      </c>
      <c r="EB1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4" s="42" t="n">
        <f aca="false">IF(OR(NOT(Tasks[[#This Row],[_IsLeaf]]=1),Tasks[[#This Row],[_Res4Row]]=0),0,N(Tasks[[#This Row],[_Days]])*HoursPerDay*IF(Tasks[[#This Row],[_Res4Units]]="",DefaultUnits,Tasks[[#This Row],[_Res4Units]]))</f>
        <v>0</v>
      </c>
      <c r="ED124" s="42" t="n">
        <f aca="false">IF(AND(AND(Tasks[[#This Row],[_IsLeaf]]=1,Tasks[[#This Row],[_LeafTotalWork]]&gt;0),Tasks[[#This Row],[_Res4Work]]&gt;0),Tasks[[#This Row],[_Res4Work]]/(Tasks[[#This Row],[_FinishWorkday]]-Tasks[[#This Row],[_StartWorkday]]+1),0)</f>
        <v>0</v>
      </c>
      <c r="EE124" s="42" t="n">
        <f aca="false">Tasks[[#This Row],[_Res4WorkPerWD]]*MAX(0,Tasks[[#This Row],[_StartWorkday]]-1)</f>
        <v>0</v>
      </c>
      <c r="EF124" s="42" t="n">
        <f aca="false">Tasks[[#This Row],[_Res4Work]]*Tasks[[#This Row],[_LeafProgress]]</f>
        <v>0</v>
      </c>
      <c r="EG124" s="42" t="n">
        <f aca="false">IF(ISNUMBER(Tasks[[#This Row],[% Complete]]),Tasks[[#This Row],[% Complete]],IF(Tasks[[#This Row],[Stage]]="",0,IFERROR(INDEX(stg_Pct,MATCH(Tasks[[#This Row],[Stage]],stg_Name,0)),0)))</f>
        <v>0</v>
      </c>
      <c r="EH124" s="42" t="n">
        <f aca="false">IF(NOT(Tasks[[#This Row],[_IsLeaf]]=1),0,IF(N(Tasks[[#This Row],[Actual Finish]])&gt;0,1,MIN(1,Tasks[[#This Row],[_Pct]])))</f>
        <v>0</v>
      </c>
      <c r="EI124" s="42" t="n">
        <f aca="false">IF(OR(NOT(Tasks[[#This Row],[_IsLeaf]]=1),Tasks[[#This Row],[_Res1Row]]=0),0,N(Tasks[[#This Row],[_Days]])*HoursPerDay*IF(Tasks[[#This Row],[_Units1]]="",DefaultUnits,Tasks[[#This Row],[_Units1]]))</f>
        <v>0</v>
      </c>
      <c r="EJ124" s="42" t="n">
        <f aca="false">Tasks[[#This Row],[_LeafWork]]+Tasks[[#This Row],[_Res2Work]]+Tasks[[#This Row],[_Res3Work]]+Tasks[[#This Row],[_Res4Work]]</f>
        <v>0</v>
      </c>
      <c r="EK1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4" s="42" t="n">
        <f aca="false">IF(NOT(Tasks[[#This Row],[_IsLeaf]]=1),0,MAX(_xlfn.MAXIFS(Tasks[_Row],Tasks[_Pred1UID],Tasks[[#This Row],[UID]]),_xlfn.MAXIFS(Tasks[_Row],Tasks[_Pred2UID],Tasks[[#This Row],[UID]]),_xlfn.MAXIFS(Tasks[_Row],Tasks[_Pred3UID],Tasks[[#This Row],[UID]]),_xlfn.MAXIFS(Tasks[_Row],Tasks[_Pred4UID],Tasks[[#This Row],[UID]])))</f>
        <v>0</v>
      </c>
      <c r="ET1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4" s="89" t="str">
        <f aca="false">IF(NOT(Tasks[[#This Row],[_IsLeaf]]=1),"",IF(N(Tasks[[#This Row],[_Days]])&lt;=0,Tasks[[#This Row],[_LeafLateFinish]],WORKDAY.INTL(Tasks[[#This Row],[_LeafLateFinish]],-(Tasks[[#This Row],[_Days]]-1),WorkWeek,Holidays)))</f>
        <v/>
      </c>
      <c r="EW1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4" s="88" t="b">
        <f aca="false">AND(Tasks[[#This Row],[_IsLeaf]]=1,Tasks[[#This Row],[_LeafProgress]]&lt;1,N(Tasks[[#This Row],[_LeafTotalSlack]])&lt;=CriticalSlackDays)</f>
        <v>0</v>
      </c>
      <c r="EY124" s="42" t="n">
        <f aca="false">IF(AND(Tasks[[#This Row],[_IsLeaf]]=1,Tasks[[#This Row],[_ConstraintCode]]=1,Tasks[[#This Row],[Mode]]&lt;&gt;"Manual",N(Tasks[[#This Row],[Actual Start]])=0),MAX(0,N(Tasks[[#This Row],[Free Slack]])),0)</f>
        <v>0</v>
      </c>
      <c r="EZ124" s="89" t="str">
        <f aca="false">IF(NOT(Tasks[[#This Row],[_IsLeaf]]=1),"",IF(Tasks[[#This Row],[_AlapShift]]=0,Tasks[[#This Row],[_LeafCalcStart]],WORKDAY.INTL(Tasks[[#This Row],[_LeafCalcStart]],Tasks[[#This Row],[_AlapShift]],WorkWeek,Holidays)))</f>
        <v/>
      </c>
      <c r="FA124" s="89" t="str">
        <f aca="false">IF(NOT(Tasks[[#This Row],[_IsLeaf]]=1),"",IF(Tasks[[#This Row],[_AlapShift]]=0,Tasks[[#This Row],[_LeafCalcFinish]],WORKDAY.INTL(Tasks[[#This Row],[_LeafCalcFinish]],Tasks[[#This Row],[_AlapShift]],WorkWeek,Holidays)))</f>
        <v/>
      </c>
      <c r="FB124" s="89" t="str">
        <f aca="false">IF(NOT(Tasks[[#This Row],[_IsLeaf]]=1),"",IF(Tasks[[#This Row],[_AlapShift]]=0,Tasks[[#This Row],[_LeafFcstStart]],WORKDAY.INTL(Tasks[[#This Row],[_LeafFcstStart]],Tasks[[#This Row],[_AlapShift]],WorkWeek,Holidays)))</f>
        <v/>
      </c>
      <c r="FC124" s="89" t="str">
        <f aca="false">IF(NOT(Tasks[[#This Row],[_IsLeaf]]=1),"",IF(Tasks[[#This Row],[_AlapShift]]=0,Tasks[[#This Row],[_LeafFcstFinish]],WORKDAY.INTL(Tasks[[#This Row],[_LeafFcstFinish]],Tasks[[#This Row],[_AlapShift]],WorkWeek,Holidays)))</f>
        <v/>
      </c>
      <c r="FD124" s="89" t="str">
        <f aca="false">IF(Tasks[[#This Row],[Task Name]]="","",IF(Tasks[[#This Row],[_IsSummary]],MIN(INDEX(Tasks[_ShownCalcStart],Tasks[[#This Row],[_Row]]+1):INDEX(Tasks[_ShownCalcStart],Tasks[[#This Row],[_Row]]+Tasks[[#This Row],[_Descendants]])),Tasks[[#This Row],[_ShownCalcStart]]))</f>
        <v/>
      </c>
      <c r="FE124" s="89" t="str">
        <f aca="false">IF(Tasks[[#This Row],[Task Name]]="","",IF(Tasks[[#This Row],[_IsSummary]],MAX(INDEX(Tasks[_ShownCalcFinish],Tasks[[#This Row],[_Row]]+1):INDEX(Tasks[_ShownCalcFinish],Tasks[[#This Row],[_Row]]+Tasks[[#This Row],[_Descendants]])),Tasks[[#This Row],[_ShownCalcFinish]]))</f>
        <v/>
      </c>
      <c r="FF1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4" s="42" t="n">
        <f aca="false">IF(AND(Tasks[[#This Row],[_IsLeaf]]=1,Tasks[[#This Row],[_LeafTotalWork]]&gt;0),NETWORKDAYS.INTL(ProjectStart,Tasks[[#This Row],[_ShownFcstStart]],WorkWeek,Holidays),0)</f>
        <v>0</v>
      </c>
      <c r="FS124" s="42" t="n">
        <f aca="false">IF(AND(Tasks[[#This Row],[_IsLeaf]]=1,Tasks[[#This Row],[_LeafTotalWork]]&gt;0),MAX(Tasks[[#This Row],[_StartWorkday]],NETWORKDAYS.INTL(ProjectStart,Tasks[[#This Row],[_ShownFcstFinish]],WorkWeek,Holidays)),0)</f>
        <v>0</v>
      </c>
      <c r="FT124" s="42" t="n">
        <f aca="false">IF(AND(Tasks[[#This Row],[_IsLeaf]]=1,Tasks[[#This Row],[_LeafTotalWork]]&gt;0),Tasks[[#This Row],[_LeafWork]]/(Tasks[[#This Row],[_FinishWorkday]]-Tasks[[#This Row],[_StartWorkday]]+1),0)</f>
        <v>0</v>
      </c>
      <c r="FU124" s="42" t="n">
        <f aca="false">Tasks[[#This Row],[_WorkPerWorkday]]*(Tasks[[#This Row],[_StartWorkday]]-1)</f>
        <v>-0</v>
      </c>
      <c r="FV124" s="42" t="n">
        <f aca="false">IF(Tasks[[#This Row],[_IsLeaf]]=1,MAX(N(Tasks[[#This Row],[_Days]]),0.1),0)</f>
        <v>0</v>
      </c>
      <c r="FW124" s="42" t="n">
        <f aca="false">Tasks[[#This Row],[_WeightDur]]*Tasks[[#This Row],[_LeafProgress]]</f>
        <v>0</v>
      </c>
      <c r="FX124" s="42" t="n">
        <f aca="false">Tasks[[#This Row],[_WeightDur]]*Tasks[[#This Row],[_PlannedPct]]</f>
        <v>0</v>
      </c>
      <c r="FY1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4" s="42" t="str">
        <f aca="false">IF(AND(Tasks[[#This Row],[_IsLeaf]]=1,N(Tasks[[#This Row],[_Days]])=0,Tasks[[#This Row],[_LeafProgress]]&lt;1),Tasks[[#This Row],[_ShownFcstFinish]]+Tasks[[#This Row],[_Row]]/100000,"")</f>
        <v/>
      </c>
      <c r="GA1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4" s="42" t="str">
        <f aca="false">IF(Tasks[[#This Row],[Task Name]]="","",LEFT(Tasks[[#This Row],[WBS]],FIND(".",Tasks[[#This Row],[WBS]]&amp;".")-1))</f>
        <v/>
      </c>
      <c r="GC124" s="42" t="str">
        <f aca="false">IF(AND(Tasks[[#This Row],[Task Name]]&lt;&gt;"",Tasks[[#This Row],[_Level]]=1),Tasks[[#This Row],[_Row]],"")</f>
        <v/>
      </c>
      <c r="GD124" s="42" t="str">
        <f aca="false">IF(AND(Tasks[[#This Row],[_IsLeaf]]=1,N(Tasks[[#This Row],[_Days]])=0),Tasks[[#This Row],[Planned Finish]]+Tasks[[#This Row],[_Row]]/100000,"")</f>
        <v/>
      </c>
      <c r="GE124" s="42" t="str">
        <f aca="false">IF(AND(Tasks[[#This Row],[_IsLeaf]]=1,Tasks[[#This Row],[_LeafProgress]]&lt;1,OR(N(Tasks[[#This Row],[Finish Var]])&gt;0,Tasks[[#This Row],[Status]]="Late Start")),MAX(0,Tasks[[#This Row],[Finish Var]])+1-Tasks[[#This Row],[_Row]]/1000000,"")</f>
        <v/>
      </c>
      <c r="GF124" s="42" t="str">
        <f aca="false">IF(AND(Tasks[[#This Row],[_IsLeaf]]=1,N(Tasks[[#This Row],[Actual Start]])=0,Tasks[[#This Row],[_ShownFcstStart]]&gt;=StatusDate,Tasks[[#This Row],[_ShownFcstStart]]&lt;=LookaheadEnd),Tasks[[#This Row],[_ShownFcstStart]]+Tasks[[#This Row],[_Row]]/100000,"")</f>
        <v/>
      </c>
      <c r="GG124" s="42" t="str">
        <f aca="false">IF(AND(Tasks[[#This Row],[_IsLeaf]]=1,Tasks[[#This Row],[_LeafProgress]]&lt;1,Tasks[[#This Row],[_ShownFcstFinish]]&gt;=StatusDate,Tasks[[#This Row],[_ShownFcstFinish]]&lt;=LookaheadEnd),Tasks[[#This Row],[_ShownFcstFinish]]+Tasks[[#This Row],[_Row]]/100000,"")</f>
        <v/>
      </c>
      <c r="GH124" s="42" t="str">
        <f aca="false">IF(Tasks[[#This Row],[_LeafCritical]],Tasks[[#This Row],[_ShownFcstStart]]+Tasks[[#This Row],[_Row]]/100000,"")</f>
        <v/>
      </c>
      <c r="GI124" s="42" t="n">
        <f aca="false">Tasks[[#This Row],[_LeafWork]]*Tasks[[#This Row],[_LeafProgress]]</f>
        <v>0</v>
      </c>
      <c r="GJ124" s="89" t="str">
        <f aca="false">IF(AND(Tasks[[#This Row],[_IsLeaf]]=1,Tasks[[#This Row],[_LeafProgress]]&gt;=1),IF(N(Tasks[[#This Row],[Actual Finish]])&gt;0,Tasks[[#This Row],[Actual Finish]],Tasks[[#This Row],[_ShownFcstFinish]]),"")</f>
        <v/>
      </c>
      <c r="GK124" s="42" t="n">
        <f aca="false">IF(Tasks[[#This Row],[_IsLeaf]]=1,N(Tasks[[#This Row],[Story Points]]),0)</f>
        <v>0</v>
      </c>
      <c r="GL124" s="42" t="str">
        <f aca="false">""</f>
        <v/>
      </c>
      <c r="GM124" s="88" t="b">
        <f aca="false">IF(Tasks[[#This Row],[Task Name]]="",FALSE(),AND(Tasks[[#This Row],[_IsLeaf]]=1,N(Tasks[[#This Row],[_Days]])=0))</f>
        <v>0</v>
      </c>
      <c r="GN124" s="89" t="n">
        <f aca="false">IF(Tasks[[#This Row],[Task Name]]="",0,IF(AND(Tasks[[#This Row],[_IsLeaf]]=1,NOT(Tasks[[#This Row],[_IsMilestone]]),N(Tasks[[#This Row],[Progress]])&gt;0),Tasks[[#This Row],[Start]],0))</f>
        <v>0</v>
      </c>
      <c r="GO124" s="89" t="n">
        <f aca="false">IF(Tasks[[#This Row],[_DoneFrom]]=0,0,IF(Tasks[[#This Row],[Progress]]&gt;=1,Tasks[[#This Row],[Finish]],MAX(Tasks[[#This Row],[_DoneFrom]],Tasks[[#This Row],[Start]]+ROUND((Tasks[[#This Row],[Finish]]-Tasks[[#This Row],[Start]]+1)*Tasks[[#This Row],[Progress]],0)-1)))</f>
        <v>0</v>
      </c>
      <c r="GP124" s="89" t="n">
        <f aca="false">IF(Tasks[[#This Row],[Task Name]]="",0,IF(OR(NOT(Tasks[[#This Row],[_IsLeaf]]=1),Tasks[[#This Row],[_IsMilestone]],N(Tasks[[#This Row],[Progress]])&gt;=1),0,IF(Tasks[[#This Row],[_DoneTo]]&gt;0,Tasks[[#This Row],[_DoneTo]]+1,Tasks[[#This Row],[Start]])))</f>
        <v>0</v>
      </c>
      <c r="GQ124" s="89" t="n">
        <f aca="false">IF(Tasks[[#This Row],[_RemFrom]]=0,0,Tasks[[#This Row],[Finish]])</f>
        <v>0</v>
      </c>
      <c r="GR124" s="88" t="b">
        <f aca="false">IF(Tasks[[#This Row],[Task Name]]="",FALSE(),OR(NOT(BaselineSet),N(Tasks[[#This Row],[Baseline Start]])&gt;0))</f>
        <v>0</v>
      </c>
      <c r="GS1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4" s="90" t="str">
        <f aca="false">IF(Tasks[[#This Row],[_IsLeaf]]=1,Tasks[[#This Row],[_Row]],"")</f>
        <v/>
      </c>
      <c r="GW124" s="90" t="str">
        <f aca="false">IFERROR(INDEX(Tasks[UID],SMALL(Tasks[_PickKey],Tasks[[#This Row],[_Row]]))&amp;" "&amp;INDEX(Tasks[Task Name],SMALL(Tasks[_PickKey],Tasks[[#This Row],[_Row]])),"")</f>
        <v/>
      </c>
      <c r="GX124" s="42" t="str">
        <f aca="false">IF(Tasks[[#This Row],[Task Name]]="","",IF(Tasks[[#This Row],[_IsSummary]],NETWORKDAYS.INTL(Tasks[[#This Row],[Start]],Tasks[[#This Row],[Finish]],WorkWeek,Holidays),N(Tasks[[#This Row],[_Days]])))</f>
        <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3"/>
      <c r="U125" s="23"/>
      <c r="V125" s="83"/>
      <c r="W125" s="23"/>
      <c r="X125" s="83"/>
      <c r="Y125" s="23"/>
      <c r="Z125" s="83"/>
      <c r="AA125" s="23"/>
      <c r="AB125" s="23"/>
      <c r="AC125" s="7"/>
      <c r="AD125" s="7"/>
      <c r="AE125" s="62" t="str">
        <f aca="false">IF(Tasks[[#This Row],[Task Name]]="","",IF(Tasks[[#This Row],[_IsSummary]],MIN(INDEX(Tasks[_ShownFcstStart],Tasks[[#This Row],[_Row]]+1):INDEX(Tasks[_ShownFcstStart],Tasks[[#This Row],[_Row]]+Tasks[[#This Row],[_Descendants]])),Tasks[[#This Row],[_ShownFcstStart]]))</f>
        <v/>
      </c>
      <c r="AF125" s="62"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5" s="7"/>
      <c r="AK125" s="22"/>
      <c r="AL125" s="23"/>
      <c r="AM125" s="7"/>
      <c r="AN125" s="46"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2" t="str">
        <f aca="false">IF(Tasks[[#This Row],[Task Name]]="","",IF(N(Tasks[[#This Row],[Baseline Start]])&gt;0,Tasks[[#This Row],[Baseline Start]],Tasks[[#This Row],[_CalcStart]]))</f>
        <v/>
      </c>
      <c r="AR125" s="62" t="str">
        <f aca="false">IF(Tasks[[#This Row],[Task Name]]="","",IF(N(Tasks[[#This Row],[Baseline Finish]])&gt;0,Tasks[[#This Row],[Baseline Finish]],Tasks[[#This Row],[_CalcFinish]]))</f>
        <v/>
      </c>
      <c r="AS125" s="46" t="str">
        <f aca="false">IF(Tasks[[#This Row],[Task Name]]="","",IF(Tasks[[#This Row],[Start]]&gt;=Tasks[[#This Row],[Planned Start]],NETWORKDAYS.INTL(Tasks[[#This Row],[Planned Start]],Tasks[[#This Row],[Start]],WorkWeek,Holidays)-1,1-NETWORKDAYS.INTL(Tasks[[#This Row],[Start]],Tasks[[#This Row],[Planned Start]],WorkWeek,Holidays)))</f>
        <v/>
      </c>
      <c r="AT125" s="62" t="str">
        <f aca="false">IF(Tasks[[#This Row],[Task Name]]="","",IF(Tasks[[#This Row],[_IsSummary]],MIN(INDEX(Tasks[_LeafLateStart],Tasks[[#This Row],[_Row]]+1):INDEX(Tasks[_LeafLateStart],Tasks[[#This Row],[_Row]]+Tasks[[#This Row],[_Descendants]])),Tasks[[#This Row],[_LeafLateStart]]))</f>
        <v/>
      </c>
      <c r="AU125" s="62" t="str">
        <f aca="false">IF(Tasks[[#This Row],[Task Name]]="","",IF(Tasks[[#This Row],[_IsSummary]],MAX(INDEX(Tasks[_LeafLateFinish],Tasks[[#This Row],[_Row]]+1):INDEX(Tasks[_LeafLateFinish],Tasks[[#This Row],[_Row]]+Tasks[[#This Row],[_Descendants]])),Tasks[[#This Row],[_LeafLateFinish]]))</f>
        <v/>
      </c>
      <c r="AV125" s="46"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4"/>
      <c r="BA1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5"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6"/>
      <c r="BJ125" s="22"/>
      <c r="BK125" s="46" t="str">
        <f aca="false">IF(OR(Tasks[[#This Row],[Task Name]]="",Tasks[[#This Row],[Baseline Duration]]=""),"",Tasks[[#This Row],[_SpanDays]]-N(Tasks[[#This Row],[Baseline Duration]]))</f>
        <v/>
      </c>
      <c r="BL125" s="85" t="str">
        <f aca="false">IF(OR(Tasks[[#This Row],[Task Name]]="",Tasks[[#This Row],[Baseline Work]]=""),"",Tasks[[#This Row],[Work]]-N(Tasks[[#This Row],[Baseline Work]]))</f>
        <v/>
      </c>
      <c r="BM125" s="62" t="str">
        <f aca="false">IF(Tasks[[#This Row],[Task Name]]="","",IF(OR(TakeBaseline="Yes",N(Tasks[[#This Row],[Baseline Start]])=0),Tasks[[#This Row],[Start]],Tasks[[#This Row],[Baseline Start]]))</f>
        <v/>
      </c>
      <c r="BN125" s="62"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5" t="str">
        <f aca="false">IF(Tasks[[#This Row],[Task Name]]="","",IF(OR(TakeBaseline="Yes",N(Tasks[[#This Row],[Baseline Work]])=0),Tasks[[#This Row],[Work]],Tasks[[#This Row],[Baseline Work]]))</f>
        <v/>
      </c>
      <c r="BQ125" s="7"/>
      <c r="BR125" s="7"/>
      <c r="BS125" s="22"/>
      <c r="BT125" s="87"/>
      <c r="BU125" s="42" t="str">
        <f aca="false">IF(Tasks[[#This Row],[Task Name]]="","",MAX(1,N(Tasks[[#This Row],[Level]])))</f>
        <v/>
      </c>
      <c r="BV125" s="42" t="n">
        <f aca="false">ROW()-ROW(Tasks[[#Headers],[ID]])</f>
        <v>120</v>
      </c>
      <c r="BW125" s="42" t="n">
        <f aca="false">IF(OR(Tasks[[#This Row],[Task Name]]="",Tasks[[#This Row],[_Level]]&lt;=1),0,IFERROR(LOOKUP(2,1/(Tasks[[#Headers],[_Level]]:Tasks[[#This Row],[_Level]]=Tasks[[#This Row],[_Level]]-1),ROW(Tasks[[#Headers],[_Level]]:Tasks[[#This Row],[_Level]])),0))</f>
        <v>0</v>
      </c>
      <c r="BX125" s="42" t="n">
        <f aca="false">IFERROR(N(INDEX(Tasks[_Level],Tasks[[#This Row],[_Row]]+1)),0)</f>
        <v>0</v>
      </c>
      <c r="BY125" s="88" t="b">
        <f aca="false">AND(Tasks[[#This Row],[Task Name]]&lt;&gt;"",Tasks[[#This Row],[_NextLevel]]&gt;Tasks[[#This Row],[_Level]])</f>
        <v>0</v>
      </c>
      <c r="BZ125" s="42" t="n">
        <f aca="false">IF(Tasks[[#This Row],[_IsSummary]],COUNTIF(Tasks[WBS],Tasks[[#This Row],[WBS]]&amp;".*"),0)</f>
        <v>0</v>
      </c>
      <c r="CA125" s="42" t="n">
        <f aca="false">IF(AND(Tasks[[#This Row],[Task Name]]&lt;&gt;"",NOT(Tasks[[#This Row],[_IsSummary]])),1,0)</f>
        <v>0</v>
      </c>
      <c r="CB125" s="42" t="n">
        <f aca="false">IF(N(Tasks[[#This Row],[_Pred1UID]])=0,0,IFERROR(MATCH(Tasks[[#This Row],[_Pred1UID]],Tasks[UID],0),-1))</f>
        <v>0</v>
      </c>
      <c r="CC125" s="42" t="n">
        <f aca="false">IF(N(Tasks[[#This Row],[_Pred2UID]])=0,0,IFERROR(MATCH(Tasks[[#This Row],[_Pred2UID]],Tasks[UID],0),-1))</f>
        <v>0</v>
      </c>
      <c r="CD125" s="42" t="n">
        <f aca="false">IF(N(Tasks[[#This Row],[_Pred3UID]])=0,0,IFERROR(MATCH(Tasks[[#This Row],[_Pred3UID]],Tasks[UID],0),-1))</f>
        <v>0</v>
      </c>
      <c r="CE125" s="42" t="n">
        <f aca="false">IF(N(Tasks[[#This Row],[_Pred4UID]])=0,0,IFERROR(MATCH(Tasks[[#This Row],[_Pred4UID]],Tasks[UID],0),-1))</f>
        <v>0</v>
      </c>
      <c r="CF1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5" s="89" t="n">
        <f aca="false">IF(OR(Tasks[[#This Row],[_ConstraintCode]]=2,Tasks[[#This Row],[_ConstraintCode]]=3,Tasks[[#This Row],[_ConstraintCode]]=4,Tasks[[#This Row],[_ConstraintCode]]=6),Tasks[[#This Row],[_ConstraintStart]],0)</f>
        <v>0</v>
      </c>
      <c r="CI125" s="89" t="n">
        <f aca="false">IF(OR(Tasks[[#This Row],[_ConstraintCode]]=2,Tasks[[#This Row],[_ConstraintCode]]=3,Tasks[[#This Row],[_ConstraintCode]]=5,Tasks[[#This Row],[_ConstraintCode]]=7),Tasks[[#This Row],[_ConstraintStart]],2958465)</f>
        <v>2958465</v>
      </c>
      <c r="CJ1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5" s="89" t="str">
        <f aca="false">IF(NOT(Tasks[[#This Row],[_IsLeaf]]=1),"",IF(N(Tasks[[#This Row],[_Days]])&lt;=0,Tasks[[#This Row],[_LeafCalcStart]],WORKDAY.INTL(Tasks[[#This Row],[_LeafCalcStart]],Tasks[[#This Row],[_Days]]-1,WorkWeek,Holidays)))</f>
        <v/>
      </c>
      <c r="CL1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5" s="42" t="str">
        <f aca="false">IF(Tasks[[#This Row],[_Predecessors]]="","",TRIM(MID(SUBSTITUTE(SUBSTITUTE(SUBSTITUTE(UPPER(Tasks[[#This Row],[_Predecessors]]),";",",")," ",""),",",REPT(" ",99)),1,99)))</f>
        <v/>
      </c>
      <c r="CO125" s="42" t="str">
        <f aca="false">IF(Tasks[[#This Row],[_Pred1Text]]="","",IFERROR(VALUE(LEFT(Tasks[[#This Row],[_Pred1Text]],MIN(FIND("F",Tasks[[#This Row],[_Pred1Text]]&amp;"F"),FIND("S",Tasks[[#This Row],[_Pred1Text]]&amp;"S"),FIND("+",Tasks[[#This Row],[_Pred1Text]]&amp;"+"),FIND("-",Tasks[[#This Row],[_Pred1Text]]&amp;"-"))-1)),""))</f>
        <v/>
      </c>
      <c r="CP1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5" s="42" t="str">
        <f aca="false">IF(Tasks[[#This Row],[_Pred1Text]]="","",TRIM(MID(SUBSTITUTE(SUBSTITUTE(SUBSTITUTE(UPPER(Tasks[[#This Row],[_Predecessors]]),";",",")," ",""),",",REPT(" ",99)),100,99)))</f>
        <v/>
      </c>
      <c r="CS125" s="42" t="str">
        <f aca="false">IF(Tasks[[#This Row],[_Pred2Text]]="","",IFERROR(VALUE(LEFT(Tasks[[#This Row],[_Pred2Text]],MIN(FIND("F",Tasks[[#This Row],[_Pred2Text]]&amp;"F"),FIND("S",Tasks[[#This Row],[_Pred2Text]]&amp;"S"),FIND("+",Tasks[[#This Row],[_Pred2Text]]&amp;"+"),FIND("-",Tasks[[#This Row],[_Pred2Text]]&amp;"-"))-1)),""))</f>
        <v/>
      </c>
      <c r="CT1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5" s="42" t="str">
        <f aca="false">IF(Tasks[[#This Row],[_Pred2Text]]="","",TRIM(MID(SUBSTITUTE(SUBSTITUTE(SUBSTITUTE(UPPER(Tasks[[#This Row],[_Predecessors]]),";",",")," ",""),",",REPT(" ",99)),199,99)))</f>
        <v/>
      </c>
      <c r="CW125" s="42" t="str">
        <f aca="false">IF(Tasks[[#This Row],[_Pred3Text]]="","",IFERROR(VALUE(LEFT(Tasks[[#This Row],[_Pred3Text]],MIN(FIND("F",Tasks[[#This Row],[_Pred3Text]]&amp;"F"),FIND("S",Tasks[[#This Row],[_Pred3Text]]&amp;"S"),FIND("+",Tasks[[#This Row],[_Pred3Text]]&amp;"+"),FIND("-",Tasks[[#This Row],[_Pred3Text]]&amp;"-"))-1)),""))</f>
        <v/>
      </c>
      <c r="CX1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5" s="42" t="str">
        <f aca="false">IF(Tasks[[#This Row],[_Pred3Text]]="","",TRIM(MID(SUBSTITUTE(SUBSTITUTE(SUBSTITUTE(UPPER(Tasks[[#This Row],[_Predecessors]]),";",",")," ",""),",",REPT(" ",99)),298,99)))</f>
        <v/>
      </c>
      <c r="DA125" s="42" t="str">
        <f aca="false">IF(Tasks[[#This Row],[_Pred4Text]]="","",IFERROR(VALUE(LEFT(Tasks[[#This Row],[_Pred4Text]],MIN(FIND("F",Tasks[[#This Row],[_Pred4Text]]&amp;"F"),FIND("S",Tasks[[#This Row],[_Pred4Text]]&amp;"S"),FIND("+",Tasks[[#This Row],[_Pred4Text]]&amp;"+"),FIND("-",Tasks[[#This Row],[_Pred4Text]]&amp;"-"))-1)),""))</f>
        <v/>
      </c>
      <c r="DB1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5" s="42" t="str">
        <f aca="false">IF(OR(Tasks[[#This Row],[Task Name]]="",Tasks[[#This Row],[_Resources]]=""),"",TRIM(MID(SUBSTITUTE(Tasks[[#This Row],[_Resources]],",",REPT(" ",99)),1,99)))</f>
        <v/>
      </c>
      <c r="DE125" s="42" t="str">
        <f aca="false">IF(Tasks[[#This Row],[_Res1Text]]="","",TRIM(MID(SUBSTITUTE(Tasks[[#This Row],[_Resources]],",",REPT(" ",99)),100,99)))</f>
        <v/>
      </c>
      <c r="DF125" s="42" t="str">
        <f aca="false">IF(Tasks[[#This Row],[_Res2Text]]="","",TRIM(MID(SUBSTITUTE(Tasks[[#This Row],[_Resources]],",",REPT(" ",99)),199,99)))</f>
        <v/>
      </c>
      <c r="DG125" s="42" t="str">
        <f aca="false">IF(Tasks[[#This Row],[_Res3Text]]="","",TRIM(MID(SUBSTITUTE(Tasks[[#This Row],[_Resources]],",",REPT(" ",99)),298,99)))</f>
        <v/>
      </c>
      <c r="DH125" s="42" t="n">
        <f aca="false">IF(Tasks[[#This Row],[_Res1Text]]="",0,IFERROR(MATCH(TRIM(LEFT(Tasks[[#This Row],[_Res1Text]],FIND("[",Tasks[[#This Row],[_Res1Text]]&amp;"[")-1)),res_Name,0),IFERROR(MATCH(TRIM(LEFT(Tasks[[#This Row],[_Res1Text]],FIND("[",Tasks[[#This Row],[_Res1Text]]&amp;"[")-1)),res_Initials,0),0)))</f>
        <v>0</v>
      </c>
      <c r="DI125" s="42" t="n">
        <f aca="false">IF(Tasks[[#This Row],[_Res2Text]]="",0,IFERROR(MATCH(TRIM(LEFT(Tasks[[#This Row],[_Res2Text]],FIND("[",Tasks[[#This Row],[_Res2Text]]&amp;"[")-1)),res_Name,0),IFERROR(MATCH(TRIM(LEFT(Tasks[[#This Row],[_Res2Text]],FIND("[",Tasks[[#This Row],[_Res2Text]]&amp;"[")-1)),res_Initials,0),0)))</f>
        <v>0</v>
      </c>
      <c r="DJ125" s="42" t="n">
        <f aca="false">IF(Tasks[[#This Row],[_Res3Text]]="",0,IFERROR(MATCH(TRIM(LEFT(Tasks[[#This Row],[_Res3Text]],FIND("[",Tasks[[#This Row],[_Res3Text]]&amp;"[")-1)),res_Name,0),IFERROR(MATCH(TRIM(LEFT(Tasks[[#This Row],[_Res3Text]],FIND("[",Tasks[[#This Row],[_Res3Text]]&amp;"[")-1)),res_Initials,0),0)))</f>
        <v>0</v>
      </c>
      <c r="DK125" s="42" t="n">
        <f aca="false">IF(Tasks[[#This Row],[_Res4Text]]="",0,IFERROR(MATCH(TRIM(LEFT(Tasks[[#This Row],[_Res4Text]],FIND("[",Tasks[[#This Row],[_Res4Text]]&amp;"[")-1)),res_Name,0),IFERROR(MATCH(TRIM(LEFT(Tasks[[#This Row],[_Res4Text]],FIND("[",Tasks[[#This Row],[_Res4Text]]&amp;"[")-1)),res_Initials,0),0)))</f>
        <v>0</v>
      </c>
      <c r="DL125" s="42" t="str">
        <f aca="false">IF(Tasks[[#This Row],[_Res1Text]]="","",IF(Tasks[[#This Row],[_Res1Row]]&gt;0,INDEX(res_Name,Tasks[[#This Row],[_Res1Row]]),TRIM(LEFT(Tasks[[#This Row],[_Res1Text]],FIND("[",Tasks[[#This Row],[_Res1Text]]&amp;"[")-1))))</f>
        <v/>
      </c>
      <c r="DM1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5" s="42" t="n">
        <f aca="false">IF(NOT(Tasks[[#This Row],[_IsLeaf]]=1),0,(Tasks[[#This Row],[_Resource1]]&lt;&gt;"")+(Tasks[[#This Row],[_Res2]]&lt;&gt;"")+(Tasks[[#This Row],[_Res3]]&lt;&gt;"")+(Tasks[[#This Row],[_Res4]]&lt;&gt;""))</f>
        <v>0</v>
      </c>
      <c r="DO125" s="42" t="str">
        <f aca="false">IF(Tasks[[#This Row],[_Res2Text]]="","",IF(Tasks[[#This Row],[_Res2Row]]&gt;0,INDEX(res_Name,Tasks[[#This Row],[_Res2Row]]),TRIM(LEFT(Tasks[[#This Row],[_Res2Text]],FIND("[",Tasks[[#This Row],[_Res2Text]]&amp;"[")-1))))</f>
        <v/>
      </c>
      <c r="DP1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5" s="42" t="n">
        <f aca="false">IF(OR(NOT(Tasks[[#This Row],[_IsLeaf]]=1),Tasks[[#This Row],[_Res2Row]]=0),0,N(Tasks[[#This Row],[_Days]])*HoursPerDay*IF(Tasks[[#This Row],[_Res2Units]]="",DefaultUnits,Tasks[[#This Row],[_Res2Units]]))</f>
        <v>0</v>
      </c>
      <c r="DR125" s="42" t="n">
        <f aca="false">IF(AND(AND(Tasks[[#This Row],[_IsLeaf]]=1,Tasks[[#This Row],[_LeafTotalWork]]&gt;0),Tasks[[#This Row],[_Res2Work]]&gt;0),Tasks[[#This Row],[_Res2Work]]/(Tasks[[#This Row],[_FinishWorkday]]-Tasks[[#This Row],[_StartWorkday]]+1),0)</f>
        <v>0</v>
      </c>
      <c r="DS125" s="42" t="n">
        <f aca="false">Tasks[[#This Row],[_Res2WorkPerWD]]*MAX(0,Tasks[[#This Row],[_StartWorkday]]-1)</f>
        <v>0</v>
      </c>
      <c r="DT125" s="42" t="n">
        <f aca="false">Tasks[[#This Row],[_Res2Work]]*Tasks[[#This Row],[_LeafProgress]]</f>
        <v>0</v>
      </c>
      <c r="DU125" s="42" t="str">
        <f aca="false">IF(Tasks[[#This Row],[_Res3Text]]="","",IF(Tasks[[#This Row],[_Res3Row]]&gt;0,INDEX(res_Name,Tasks[[#This Row],[_Res3Row]]),TRIM(LEFT(Tasks[[#This Row],[_Res3Text]],FIND("[",Tasks[[#This Row],[_Res3Text]]&amp;"[")-1))))</f>
        <v/>
      </c>
      <c r="DV1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5" s="42" t="n">
        <f aca="false">IF(OR(NOT(Tasks[[#This Row],[_IsLeaf]]=1),Tasks[[#This Row],[_Res3Row]]=0),0,N(Tasks[[#This Row],[_Days]])*HoursPerDay*IF(Tasks[[#This Row],[_Res3Units]]="",DefaultUnits,Tasks[[#This Row],[_Res3Units]]))</f>
        <v>0</v>
      </c>
      <c r="DX125" s="42" t="n">
        <f aca="false">IF(AND(AND(Tasks[[#This Row],[_IsLeaf]]=1,Tasks[[#This Row],[_LeafTotalWork]]&gt;0),Tasks[[#This Row],[_Res3Work]]&gt;0),Tasks[[#This Row],[_Res3Work]]/(Tasks[[#This Row],[_FinishWorkday]]-Tasks[[#This Row],[_StartWorkday]]+1),0)</f>
        <v>0</v>
      </c>
      <c r="DY125" s="42" t="n">
        <f aca="false">Tasks[[#This Row],[_Res3WorkPerWD]]*MAX(0,Tasks[[#This Row],[_StartWorkday]]-1)</f>
        <v>0</v>
      </c>
      <c r="DZ125" s="42" t="n">
        <f aca="false">Tasks[[#This Row],[_Res3Work]]*Tasks[[#This Row],[_LeafProgress]]</f>
        <v>0</v>
      </c>
      <c r="EA125" s="42" t="str">
        <f aca="false">IF(Tasks[[#This Row],[_Res4Text]]="","",IF(Tasks[[#This Row],[_Res4Row]]&gt;0,INDEX(res_Name,Tasks[[#This Row],[_Res4Row]]),TRIM(LEFT(Tasks[[#This Row],[_Res4Text]],FIND("[",Tasks[[#This Row],[_Res4Text]]&amp;"[")-1))))</f>
        <v/>
      </c>
      <c r="EB1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5" s="42" t="n">
        <f aca="false">IF(OR(NOT(Tasks[[#This Row],[_IsLeaf]]=1),Tasks[[#This Row],[_Res4Row]]=0),0,N(Tasks[[#This Row],[_Days]])*HoursPerDay*IF(Tasks[[#This Row],[_Res4Units]]="",DefaultUnits,Tasks[[#This Row],[_Res4Units]]))</f>
        <v>0</v>
      </c>
      <c r="ED125" s="42" t="n">
        <f aca="false">IF(AND(AND(Tasks[[#This Row],[_IsLeaf]]=1,Tasks[[#This Row],[_LeafTotalWork]]&gt;0),Tasks[[#This Row],[_Res4Work]]&gt;0),Tasks[[#This Row],[_Res4Work]]/(Tasks[[#This Row],[_FinishWorkday]]-Tasks[[#This Row],[_StartWorkday]]+1),0)</f>
        <v>0</v>
      </c>
      <c r="EE125" s="42" t="n">
        <f aca="false">Tasks[[#This Row],[_Res4WorkPerWD]]*MAX(0,Tasks[[#This Row],[_StartWorkday]]-1)</f>
        <v>0</v>
      </c>
      <c r="EF125" s="42" t="n">
        <f aca="false">Tasks[[#This Row],[_Res4Work]]*Tasks[[#This Row],[_LeafProgress]]</f>
        <v>0</v>
      </c>
      <c r="EG125" s="42" t="n">
        <f aca="false">IF(ISNUMBER(Tasks[[#This Row],[% Complete]]),Tasks[[#This Row],[% Complete]],IF(Tasks[[#This Row],[Stage]]="",0,IFERROR(INDEX(stg_Pct,MATCH(Tasks[[#This Row],[Stage]],stg_Name,0)),0)))</f>
        <v>0</v>
      </c>
      <c r="EH125" s="42" t="n">
        <f aca="false">IF(NOT(Tasks[[#This Row],[_IsLeaf]]=1),0,IF(N(Tasks[[#This Row],[Actual Finish]])&gt;0,1,MIN(1,Tasks[[#This Row],[_Pct]])))</f>
        <v>0</v>
      </c>
      <c r="EI125" s="42" t="n">
        <f aca="false">IF(OR(NOT(Tasks[[#This Row],[_IsLeaf]]=1),Tasks[[#This Row],[_Res1Row]]=0),0,N(Tasks[[#This Row],[_Days]])*HoursPerDay*IF(Tasks[[#This Row],[_Units1]]="",DefaultUnits,Tasks[[#This Row],[_Units1]]))</f>
        <v>0</v>
      </c>
      <c r="EJ125" s="42" t="n">
        <f aca="false">Tasks[[#This Row],[_LeafWork]]+Tasks[[#This Row],[_Res2Work]]+Tasks[[#This Row],[_Res3Work]]+Tasks[[#This Row],[_Res4Work]]</f>
        <v>0</v>
      </c>
      <c r="EK1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5" s="42" t="n">
        <f aca="false">IF(NOT(Tasks[[#This Row],[_IsLeaf]]=1),0,MAX(_xlfn.MAXIFS(Tasks[_Row],Tasks[_Pred1UID],Tasks[[#This Row],[UID]]),_xlfn.MAXIFS(Tasks[_Row],Tasks[_Pred2UID],Tasks[[#This Row],[UID]]),_xlfn.MAXIFS(Tasks[_Row],Tasks[_Pred3UID],Tasks[[#This Row],[UID]]),_xlfn.MAXIFS(Tasks[_Row],Tasks[_Pred4UID],Tasks[[#This Row],[UID]])))</f>
        <v>0</v>
      </c>
      <c r="ET1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5" s="89" t="str">
        <f aca="false">IF(NOT(Tasks[[#This Row],[_IsLeaf]]=1),"",IF(N(Tasks[[#This Row],[_Days]])&lt;=0,Tasks[[#This Row],[_LeafLateFinish]],WORKDAY.INTL(Tasks[[#This Row],[_LeafLateFinish]],-(Tasks[[#This Row],[_Days]]-1),WorkWeek,Holidays)))</f>
        <v/>
      </c>
      <c r="EW1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5" s="88" t="b">
        <f aca="false">AND(Tasks[[#This Row],[_IsLeaf]]=1,Tasks[[#This Row],[_LeafProgress]]&lt;1,N(Tasks[[#This Row],[_LeafTotalSlack]])&lt;=CriticalSlackDays)</f>
        <v>0</v>
      </c>
      <c r="EY125" s="42" t="n">
        <f aca="false">IF(AND(Tasks[[#This Row],[_IsLeaf]]=1,Tasks[[#This Row],[_ConstraintCode]]=1,Tasks[[#This Row],[Mode]]&lt;&gt;"Manual",N(Tasks[[#This Row],[Actual Start]])=0),MAX(0,N(Tasks[[#This Row],[Free Slack]])),0)</f>
        <v>0</v>
      </c>
      <c r="EZ125" s="89" t="str">
        <f aca="false">IF(NOT(Tasks[[#This Row],[_IsLeaf]]=1),"",IF(Tasks[[#This Row],[_AlapShift]]=0,Tasks[[#This Row],[_LeafCalcStart]],WORKDAY.INTL(Tasks[[#This Row],[_LeafCalcStart]],Tasks[[#This Row],[_AlapShift]],WorkWeek,Holidays)))</f>
        <v/>
      </c>
      <c r="FA125" s="89" t="str">
        <f aca="false">IF(NOT(Tasks[[#This Row],[_IsLeaf]]=1),"",IF(Tasks[[#This Row],[_AlapShift]]=0,Tasks[[#This Row],[_LeafCalcFinish]],WORKDAY.INTL(Tasks[[#This Row],[_LeafCalcFinish]],Tasks[[#This Row],[_AlapShift]],WorkWeek,Holidays)))</f>
        <v/>
      </c>
      <c r="FB125" s="89" t="str">
        <f aca="false">IF(NOT(Tasks[[#This Row],[_IsLeaf]]=1),"",IF(Tasks[[#This Row],[_AlapShift]]=0,Tasks[[#This Row],[_LeafFcstStart]],WORKDAY.INTL(Tasks[[#This Row],[_LeafFcstStart]],Tasks[[#This Row],[_AlapShift]],WorkWeek,Holidays)))</f>
        <v/>
      </c>
      <c r="FC125" s="89" t="str">
        <f aca="false">IF(NOT(Tasks[[#This Row],[_IsLeaf]]=1),"",IF(Tasks[[#This Row],[_AlapShift]]=0,Tasks[[#This Row],[_LeafFcstFinish]],WORKDAY.INTL(Tasks[[#This Row],[_LeafFcstFinish]],Tasks[[#This Row],[_AlapShift]],WorkWeek,Holidays)))</f>
        <v/>
      </c>
      <c r="FD125" s="89" t="str">
        <f aca="false">IF(Tasks[[#This Row],[Task Name]]="","",IF(Tasks[[#This Row],[_IsSummary]],MIN(INDEX(Tasks[_ShownCalcStart],Tasks[[#This Row],[_Row]]+1):INDEX(Tasks[_ShownCalcStart],Tasks[[#This Row],[_Row]]+Tasks[[#This Row],[_Descendants]])),Tasks[[#This Row],[_ShownCalcStart]]))</f>
        <v/>
      </c>
      <c r="FE125" s="89" t="str">
        <f aca="false">IF(Tasks[[#This Row],[Task Name]]="","",IF(Tasks[[#This Row],[_IsSummary]],MAX(INDEX(Tasks[_ShownCalcFinish],Tasks[[#This Row],[_Row]]+1):INDEX(Tasks[_ShownCalcFinish],Tasks[[#This Row],[_Row]]+Tasks[[#This Row],[_Descendants]])),Tasks[[#This Row],[_ShownCalcFinish]]))</f>
        <v/>
      </c>
      <c r="FF1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5" s="42" t="n">
        <f aca="false">IF(AND(Tasks[[#This Row],[_IsLeaf]]=1,Tasks[[#This Row],[_LeafTotalWork]]&gt;0),NETWORKDAYS.INTL(ProjectStart,Tasks[[#This Row],[_ShownFcstStart]],WorkWeek,Holidays),0)</f>
        <v>0</v>
      </c>
      <c r="FS125" s="42" t="n">
        <f aca="false">IF(AND(Tasks[[#This Row],[_IsLeaf]]=1,Tasks[[#This Row],[_LeafTotalWork]]&gt;0),MAX(Tasks[[#This Row],[_StartWorkday]],NETWORKDAYS.INTL(ProjectStart,Tasks[[#This Row],[_ShownFcstFinish]],WorkWeek,Holidays)),0)</f>
        <v>0</v>
      </c>
      <c r="FT125" s="42" t="n">
        <f aca="false">IF(AND(Tasks[[#This Row],[_IsLeaf]]=1,Tasks[[#This Row],[_LeafTotalWork]]&gt;0),Tasks[[#This Row],[_LeafWork]]/(Tasks[[#This Row],[_FinishWorkday]]-Tasks[[#This Row],[_StartWorkday]]+1),0)</f>
        <v>0</v>
      </c>
      <c r="FU125" s="42" t="n">
        <f aca="false">Tasks[[#This Row],[_WorkPerWorkday]]*(Tasks[[#This Row],[_StartWorkday]]-1)</f>
        <v>-0</v>
      </c>
      <c r="FV125" s="42" t="n">
        <f aca="false">IF(Tasks[[#This Row],[_IsLeaf]]=1,MAX(N(Tasks[[#This Row],[_Days]]),0.1),0)</f>
        <v>0</v>
      </c>
      <c r="FW125" s="42" t="n">
        <f aca="false">Tasks[[#This Row],[_WeightDur]]*Tasks[[#This Row],[_LeafProgress]]</f>
        <v>0</v>
      </c>
      <c r="FX125" s="42" t="n">
        <f aca="false">Tasks[[#This Row],[_WeightDur]]*Tasks[[#This Row],[_PlannedPct]]</f>
        <v>0</v>
      </c>
      <c r="FY1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5" s="42" t="str">
        <f aca="false">IF(AND(Tasks[[#This Row],[_IsLeaf]]=1,N(Tasks[[#This Row],[_Days]])=0,Tasks[[#This Row],[_LeafProgress]]&lt;1),Tasks[[#This Row],[_ShownFcstFinish]]+Tasks[[#This Row],[_Row]]/100000,"")</f>
        <v/>
      </c>
      <c r="GA1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5" s="42" t="str">
        <f aca="false">IF(Tasks[[#This Row],[Task Name]]="","",LEFT(Tasks[[#This Row],[WBS]],FIND(".",Tasks[[#This Row],[WBS]]&amp;".")-1))</f>
        <v/>
      </c>
      <c r="GC125" s="42" t="str">
        <f aca="false">IF(AND(Tasks[[#This Row],[Task Name]]&lt;&gt;"",Tasks[[#This Row],[_Level]]=1),Tasks[[#This Row],[_Row]],"")</f>
        <v/>
      </c>
      <c r="GD125" s="42" t="str">
        <f aca="false">IF(AND(Tasks[[#This Row],[_IsLeaf]]=1,N(Tasks[[#This Row],[_Days]])=0),Tasks[[#This Row],[Planned Finish]]+Tasks[[#This Row],[_Row]]/100000,"")</f>
        <v/>
      </c>
      <c r="GE125" s="42" t="str">
        <f aca="false">IF(AND(Tasks[[#This Row],[_IsLeaf]]=1,Tasks[[#This Row],[_LeafProgress]]&lt;1,OR(N(Tasks[[#This Row],[Finish Var]])&gt;0,Tasks[[#This Row],[Status]]="Late Start")),MAX(0,Tasks[[#This Row],[Finish Var]])+1-Tasks[[#This Row],[_Row]]/1000000,"")</f>
        <v/>
      </c>
      <c r="GF125" s="42" t="str">
        <f aca="false">IF(AND(Tasks[[#This Row],[_IsLeaf]]=1,N(Tasks[[#This Row],[Actual Start]])=0,Tasks[[#This Row],[_ShownFcstStart]]&gt;=StatusDate,Tasks[[#This Row],[_ShownFcstStart]]&lt;=LookaheadEnd),Tasks[[#This Row],[_ShownFcstStart]]+Tasks[[#This Row],[_Row]]/100000,"")</f>
        <v/>
      </c>
      <c r="GG125" s="42" t="str">
        <f aca="false">IF(AND(Tasks[[#This Row],[_IsLeaf]]=1,Tasks[[#This Row],[_LeafProgress]]&lt;1,Tasks[[#This Row],[_ShownFcstFinish]]&gt;=StatusDate,Tasks[[#This Row],[_ShownFcstFinish]]&lt;=LookaheadEnd),Tasks[[#This Row],[_ShownFcstFinish]]+Tasks[[#This Row],[_Row]]/100000,"")</f>
        <v/>
      </c>
      <c r="GH125" s="42" t="str">
        <f aca="false">IF(Tasks[[#This Row],[_LeafCritical]],Tasks[[#This Row],[_ShownFcstStart]]+Tasks[[#This Row],[_Row]]/100000,"")</f>
        <v/>
      </c>
      <c r="GI125" s="42" t="n">
        <f aca="false">Tasks[[#This Row],[_LeafWork]]*Tasks[[#This Row],[_LeafProgress]]</f>
        <v>0</v>
      </c>
      <c r="GJ125" s="89" t="str">
        <f aca="false">IF(AND(Tasks[[#This Row],[_IsLeaf]]=1,Tasks[[#This Row],[_LeafProgress]]&gt;=1),IF(N(Tasks[[#This Row],[Actual Finish]])&gt;0,Tasks[[#This Row],[Actual Finish]],Tasks[[#This Row],[_ShownFcstFinish]]),"")</f>
        <v/>
      </c>
      <c r="GK125" s="42" t="n">
        <f aca="false">IF(Tasks[[#This Row],[_IsLeaf]]=1,N(Tasks[[#This Row],[Story Points]]),0)</f>
        <v>0</v>
      </c>
      <c r="GL125" s="42" t="str">
        <f aca="false">""</f>
        <v/>
      </c>
      <c r="GM125" s="88" t="b">
        <f aca="false">IF(Tasks[[#This Row],[Task Name]]="",FALSE(),AND(Tasks[[#This Row],[_IsLeaf]]=1,N(Tasks[[#This Row],[_Days]])=0))</f>
        <v>0</v>
      </c>
      <c r="GN125" s="89" t="n">
        <f aca="false">IF(Tasks[[#This Row],[Task Name]]="",0,IF(AND(Tasks[[#This Row],[_IsLeaf]]=1,NOT(Tasks[[#This Row],[_IsMilestone]]),N(Tasks[[#This Row],[Progress]])&gt;0),Tasks[[#This Row],[Start]],0))</f>
        <v>0</v>
      </c>
      <c r="GO125" s="89" t="n">
        <f aca="false">IF(Tasks[[#This Row],[_DoneFrom]]=0,0,IF(Tasks[[#This Row],[Progress]]&gt;=1,Tasks[[#This Row],[Finish]],MAX(Tasks[[#This Row],[_DoneFrom]],Tasks[[#This Row],[Start]]+ROUND((Tasks[[#This Row],[Finish]]-Tasks[[#This Row],[Start]]+1)*Tasks[[#This Row],[Progress]],0)-1)))</f>
        <v>0</v>
      </c>
      <c r="GP125" s="89" t="n">
        <f aca="false">IF(Tasks[[#This Row],[Task Name]]="",0,IF(OR(NOT(Tasks[[#This Row],[_IsLeaf]]=1),Tasks[[#This Row],[_IsMilestone]],N(Tasks[[#This Row],[Progress]])&gt;=1),0,IF(Tasks[[#This Row],[_DoneTo]]&gt;0,Tasks[[#This Row],[_DoneTo]]+1,Tasks[[#This Row],[Start]])))</f>
        <v>0</v>
      </c>
      <c r="GQ125" s="89" t="n">
        <f aca="false">IF(Tasks[[#This Row],[_RemFrom]]=0,0,Tasks[[#This Row],[Finish]])</f>
        <v>0</v>
      </c>
      <c r="GR125" s="88" t="b">
        <f aca="false">IF(Tasks[[#This Row],[Task Name]]="",FALSE(),OR(NOT(BaselineSet),N(Tasks[[#This Row],[Baseline Start]])&gt;0))</f>
        <v>0</v>
      </c>
      <c r="GS1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5" s="90" t="str">
        <f aca="false">IF(Tasks[[#This Row],[_IsLeaf]]=1,Tasks[[#This Row],[_Row]],"")</f>
        <v/>
      </c>
      <c r="GW125" s="90" t="str">
        <f aca="false">IFERROR(INDEX(Tasks[UID],SMALL(Tasks[_PickKey],Tasks[[#This Row],[_Row]]))&amp;" "&amp;INDEX(Tasks[Task Name],SMALL(Tasks[_PickKey],Tasks[[#This Row],[_Row]])),"")</f>
        <v/>
      </c>
      <c r="GX125" s="42" t="str">
        <f aca="false">IF(Tasks[[#This Row],[Task Name]]="","",IF(Tasks[[#This Row],[_IsSummary]],NETWORKDAYS.INTL(Tasks[[#This Row],[Start]],Tasks[[#This Row],[Finish]],WorkWeek,Holidays),N(Tasks[[#This Row],[_Days]])))</f>
        <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3"/>
      <c r="U126" s="23"/>
      <c r="V126" s="83"/>
      <c r="W126" s="23"/>
      <c r="X126" s="83"/>
      <c r="Y126" s="23"/>
      <c r="Z126" s="83"/>
      <c r="AA126" s="23"/>
      <c r="AB126" s="23"/>
      <c r="AC126" s="7"/>
      <c r="AD126" s="7"/>
      <c r="AE126" s="62" t="str">
        <f aca="false">IF(Tasks[[#This Row],[Task Name]]="","",IF(Tasks[[#This Row],[_IsSummary]],MIN(INDEX(Tasks[_ShownFcstStart],Tasks[[#This Row],[_Row]]+1):INDEX(Tasks[_ShownFcstStart],Tasks[[#This Row],[_Row]]+Tasks[[#This Row],[_Descendants]])),Tasks[[#This Row],[_ShownFcstStart]]))</f>
        <v/>
      </c>
      <c r="AF126" s="62"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6" s="7"/>
      <c r="AK126" s="22"/>
      <c r="AL126" s="23"/>
      <c r="AM126" s="7"/>
      <c r="AN126" s="46"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2" t="str">
        <f aca="false">IF(Tasks[[#This Row],[Task Name]]="","",IF(N(Tasks[[#This Row],[Baseline Start]])&gt;0,Tasks[[#This Row],[Baseline Start]],Tasks[[#This Row],[_CalcStart]]))</f>
        <v/>
      </c>
      <c r="AR126" s="62" t="str">
        <f aca="false">IF(Tasks[[#This Row],[Task Name]]="","",IF(N(Tasks[[#This Row],[Baseline Finish]])&gt;0,Tasks[[#This Row],[Baseline Finish]],Tasks[[#This Row],[_CalcFinish]]))</f>
        <v/>
      </c>
      <c r="AS126" s="46" t="str">
        <f aca="false">IF(Tasks[[#This Row],[Task Name]]="","",IF(Tasks[[#This Row],[Start]]&gt;=Tasks[[#This Row],[Planned Start]],NETWORKDAYS.INTL(Tasks[[#This Row],[Planned Start]],Tasks[[#This Row],[Start]],WorkWeek,Holidays)-1,1-NETWORKDAYS.INTL(Tasks[[#This Row],[Start]],Tasks[[#This Row],[Planned Start]],WorkWeek,Holidays)))</f>
        <v/>
      </c>
      <c r="AT126" s="62" t="str">
        <f aca="false">IF(Tasks[[#This Row],[Task Name]]="","",IF(Tasks[[#This Row],[_IsSummary]],MIN(INDEX(Tasks[_LeafLateStart],Tasks[[#This Row],[_Row]]+1):INDEX(Tasks[_LeafLateStart],Tasks[[#This Row],[_Row]]+Tasks[[#This Row],[_Descendants]])),Tasks[[#This Row],[_LeafLateStart]]))</f>
        <v/>
      </c>
      <c r="AU126" s="62" t="str">
        <f aca="false">IF(Tasks[[#This Row],[Task Name]]="","",IF(Tasks[[#This Row],[_IsSummary]],MAX(INDEX(Tasks[_LeafLateFinish],Tasks[[#This Row],[_Row]]+1):INDEX(Tasks[_LeafLateFinish],Tasks[[#This Row],[_Row]]+Tasks[[#This Row],[_Descendants]])),Tasks[[#This Row],[_LeafLateFinish]]))</f>
        <v/>
      </c>
      <c r="AV126" s="46"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4"/>
      <c r="BA1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5"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6"/>
      <c r="BJ126" s="22"/>
      <c r="BK126" s="46" t="str">
        <f aca="false">IF(OR(Tasks[[#This Row],[Task Name]]="",Tasks[[#This Row],[Baseline Duration]]=""),"",Tasks[[#This Row],[_SpanDays]]-N(Tasks[[#This Row],[Baseline Duration]]))</f>
        <v/>
      </c>
      <c r="BL126" s="85" t="str">
        <f aca="false">IF(OR(Tasks[[#This Row],[Task Name]]="",Tasks[[#This Row],[Baseline Work]]=""),"",Tasks[[#This Row],[Work]]-N(Tasks[[#This Row],[Baseline Work]]))</f>
        <v/>
      </c>
      <c r="BM126" s="62" t="str">
        <f aca="false">IF(Tasks[[#This Row],[Task Name]]="","",IF(OR(TakeBaseline="Yes",N(Tasks[[#This Row],[Baseline Start]])=0),Tasks[[#This Row],[Start]],Tasks[[#This Row],[Baseline Start]]))</f>
        <v/>
      </c>
      <c r="BN126" s="62"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5" t="str">
        <f aca="false">IF(Tasks[[#This Row],[Task Name]]="","",IF(OR(TakeBaseline="Yes",N(Tasks[[#This Row],[Baseline Work]])=0),Tasks[[#This Row],[Work]],Tasks[[#This Row],[Baseline Work]]))</f>
        <v/>
      </c>
      <c r="BQ126" s="7"/>
      <c r="BR126" s="7"/>
      <c r="BS126" s="22"/>
      <c r="BT126" s="87"/>
      <c r="BU126" s="42" t="str">
        <f aca="false">IF(Tasks[[#This Row],[Task Name]]="","",MAX(1,N(Tasks[[#This Row],[Level]])))</f>
        <v/>
      </c>
      <c r="BV126" s="42" t="n">
        <f aca="false">ROW()-ROW(Tasks[[#Headers],[ID]])</f>
        <v>121</v>
      </c>
      <c r="BW126" s="42" t="n">
        <f aca="false">IF(OR(Tasks[[#This Row],[Task Name]]="",Tasks[[#This Row],[_Level]]&lt;=1),0,IFERROR(LOOKUP(2,1/(Tasks[[#Headers],[_Level]]:Tasks[[#This Row],[_Level]]=Tasks[[#This Row],[_Level]]-1),ROW(Tasks[[#Headers],[_Level]]:Tasks[[#This Row],[_Level]])),0))</f>
        <v>0</v>
      </c>
      <c r="BX126" s="42" t="n">
        <f aca="false">IFERROR(N(INDEX(Tasks[_Level],Tasks[[#This Row],[_Row]]+1)),0)</f>
        <v>0</v>
      </c>
      <c r="BY126" s="88" t="b">
        <f aca="false">AND(Tasks[[#This Row],[Task Name]]&lt;&gt;"",Tasks[[#This Row],[_NextLevel]]&gt;Tasks[[#This Row],[_Level]])</f>
        <v>0</v>
      </c>
      <c r="BZ126" s="42" t="n">
        <f aca="false">IF(Tasks[[#This Row],[_IsSummary]],COUNTIF(Tasks[WBS],Tasks[[#This Row],[WBS]]&amp;".*"),0)</f>
        <v>0</v>
      </c>
      <c r="CA126" s="42" t="n">
        <f aca="false">IF(AND(Tasks[[#This Row],[Task Name]]&lt;&gt;"",NOT(Tasks[[#This Row],[_IsSummary]])),1,0)</f>
        <v>0</v>
      </c>
      <c r="CB126" s="42" t="n">
        <f aca="false">IF(N(Tasks[[#This Row],[_Pred1UID]])=0,0,IFERROR(MATCH(Tasks[[#This Row],[_Pred1UID]],Tasks[UID],0),-1))</f>
        <v>0</v>
      </c>
      <c r="CC126" s="42" t="n">
        <f aca="false">IF(N(Tasks[[#This Row],[_Pred2UID]])=0,0,IFERROR(MATCH(Tasks[[#This Row],[_Pred2UID]],Tasks[UID],0),-1))</f>
        <v>0</v>
      </c>
      <c r="CD126" s="42" t="n">
        <f aca="false">IF(N(Tasks[[#This Row],[_Pred3UID]])=0,0,IFERROR(MATCH(Tasks[[#This Row],[_Pred3UID]],Tasks[UID],0),-1))</f>
        <v>0</v>
      </c>
      <c r="CE126" s="42" t="n">
        <f aca="false">IF(N(Tasks[[#This Row],[_Pred4UID]])=0,0,IFERROR(MATCH(Tasks[[#This Row],[_Pred4UID]],Tasks[UID],0),-1))</f>
        <v>0</v>
      </c>
      <c r="CF1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6" s="89" t="n">
        <f aca="false">IF(OR(Tasks[[#This Row],[_ConstraintCode]]=2,Tasks[[#This Row],[_ConstraintCode]]=3,Tasks[[#This Row],[_ConstraintCode]]=4,Tasks[[#This Row],[_ConstraintCode]]=6),Tasks[[#This Row],[_ConstraintStart]],0)</f>
        <v>0</v>
      </c>
      <c r="CI126" s="89" t="n">
        <f aca="false">IF(OR(Tasks[[#This Row],[_ConstraintCode]]=2,Tasks[[#This Row],[_ConstraintCode]]=3,Tasks[[#This Row],[_ConstraintCode]]=5,Tasks[[#This Row],[_ConstraintCode]]=7),Tasks[[#This Row],[_ConstraintStart]],2958465)</f>
        <v>2958465</v>
      </c>
      <c r="CJ1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6" s="89" t="str">
        <f aca="false">IF(NOT(Tasks[[#This Row],[_IsLeaf]]=1),"",IF(N(Tasks[[#This Row],[_Days]])&lt;=0,Tasks[[#This Row],[_LeafCalcStart]],WORKDAY.INTL(Tasks[[#This Row],[_LeafCalcStart]],Tasks[[#This Row],[_Days]]-1,WorkWeek,Holidays)))</f>
        <v/>
      </c>
      <c r="CL1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6" s="42" t="str">
        <f aca="false">IF(Tasks[[#This Row],[_Predecessors]]="","",TRIM(MID(SUBSTITUTE(SUBSTITUTE(SUBSTITUTE(UPPER(Tasks[[#This Row],[_Predecessors]]),";",",")," ",""),",",REPT(" ",99)),1,99)))</f>
        <v/>
      </c>
      <c r="CO126" s="42" t="str">
        <f aca="false">IF(Tasks[[#This Row],[_Pred1Text]]="","",IFERROR(VALUE(LEFT(Tasks[[#This Row],[_Pred1Text]],MIN(FIND("F",Tasks[[#This Row],[_Pred1Text]]&amp;"F"),FIND("S",Tasks[[#This Row],[_Pred1Text]]&amp;"S"),FIND("+",Tasks[[#This Row],[_Pred1Text]]&amp;"+"),FIND("-",Tasks[[#This Row],[_Pred1Text]]&amp;"-"))-1)),""))</f>
        <v/>
      </c>
      <c r="CP1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6" s="42" t="str">
        <f aca="false">IF(Tasks[[#This Row],[_Pred1Text]]="","",TRIM(MID(SUBSTITUTE(SUBSTITUTE(SUBSTITUTE(UPPER(Tasks[[#This Row],[_Predecessors]]),";",",")," ",""),",",REPT(" ",99)),100,99)))</f>
        <v/>
      </c>
      <c r="CS126" s="42" t="str">
        <f aca="false">IF(Tasks[[#This Row],[_Pred2Text]]="","",IFERROR(VALUE(LEFT(Tasks[[#This Row],[_Pred2Text]],MIN(FIND("F",Tasks[[#This Row],[_Pred2Text]]&amp;"F"),FIND("S",Tasks[[#This Row],[_Pred2Text]]&amp;"S"),FIND("+",Tasks[[#This Row],[_Pred2Text]]&amp;"+"),FIND("-",Tasks[[#This Row],[_Pred2Text]]&amp;"-"))-1)),""))</f>
        <v/>
      </c>
      <c r="CT1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6" s="42" t="str">
        <f aca="false">IF(Tasks[[#This Row],[_Pred2Text]]="","",TRIM(MID(SUBSTITUTE(SUBSTITUTE(SUBSTITUTE(UPPER(Tasks[[#This Row],[_Predecessors]]),";",",")," ",""),",",REPT(" ",99)),199,99)))</f>
        <v/>
      </c>
      <c r="CW126" s="42" t="str">
        <f aca="false">IF(Tasks[[#This Row],[_Pred3Text]]="","",IFERROR(VALUE(LEFT(Tasks[[#This Row],[_Pred3Text]],MIN(FIND("F",Tasks[[#This Row],[_Pred3Text]]&amp;"F"),FIND("S",Tasks[[#This Row],[_Pred3Text]]&amp;"S"),FIND("+",Tasks[[#This Row],[_Pred3Text]]&amp;"+"),FIND("-",Tasks[[#This Row],[_Pred3Text]]&amp;"-"))-1)),""))</f>
        <v/>
      </c>
      <c r="CX1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6" s="42" t="str">
        <f aca="false">IF(Tasks[[#This Row],[_Pred3Text]]="","",TRIM(MID(SUBSTITUTE(SUBSTITUTE(SUBSTITUTE(UPPER(Tasks[[#This Row],[_Predecessors]]),";",",")," ",""),",",REPT(" ",99)),298,99)))</f>
        <v/>
      </c>
      <c r="DA126" s="42" t="str">
        <f aca="false">IF(Tasks[[#This Row],[_Pred4Text]]="","",IFERROR(VALUE(LEFT(Tasks[[#This Row],[_Pred4Text]],MIN(FIND("F",Tasks[[#This Row],[_Pred4Text]]&amp;"F"),FIND("S",Tasks[[#This Row],[_Pred4Text]]&amp;"S"),FIND("+",Tasks[[#This Row],[_Pred4Text]]&amp;"+"),FIND("-",Tasks[[#This Row],[_Pred4Text]]&amp;"-"))-1)),""))</f>
        <v/>
      </c>
      <c r="DB1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6" s="42" t="str">
        <f aca="false">IF(OR(Tasks[[#This Row],[Task Name]]="",Tasks[[#This Row],[_Resources]]=""),"",TRIM(MID(SUBSTITUTE(Tasks[[#This Row],[_Resources]],",",REPT(" ",99)),1,99)))</f>
        <v/>
      </c>
      <c r="DE126" s="42" t="str">
        <f aca="false">IF(Tasks[[#This Row],[_Res1Text]]="","",TRIM(MID(SUBSTITUTE(Tasks[[#This Row],[_Resources]],",",REPT(" ",99)),100,99)))</f>
        <v/>
      </c>
      <c r="DF126" s="42" t="str">
        <f aca="false">IF(Tasks[[#This Row],[_Res2Text]]="","",TRIM(MID(SUBSTITUTE(Tasks[[#This Row],[_Resources]],",",REPT(" ",99)),199,99)))</f>
        <v/>
      </c>
      <c r="DG126" s="42" t="str">
        <f aca="false">IF(Tasks[[#This Row],[_Res3Text]]="","",TRIM(MID(SUBSTITUTE(Tasks[[#This Row],[_Resources]],",",REPT(" ",99)),298,99)))</f>
        <v/>
      </c>
      <c r="DH126" s="42" t="n">
        <f aca="false">IF(Tasks[[#This Row],[_Res1Text]]="",0,IFERROR(MATCH(TRIM(LEFT(Tasks[[#This Row],[_Res1Text]],FIND("[",Tasks[[#This Row],[_Res1Text]]&amp;"[")-1)),res_Name,0),IFERROR(MATCH(TRIM(LEFT(Tasks[[#This Row],[_Res1Text]],FIND("[",Tasks[[#This Row],[_Res1Text]]&amp;"[")-1)),res_Initials,0),0)))</f>
        <v>0</v>
      </c>
      <c r="DI126" s="42" t="n">
        <f aca="false">IF(Tasks[[#This Row],[_Res2Text]]="",0,IFERROR(MATCH(TRIM(LEFT(Tasks[[#This Row],[_Res2Text]],FIND("[",Tasks[[#This Row],[_Res2Text]]&amp;"[")-1)),res_Name,0),IFERROR(MATCH(TRIM(LEFT(Tasks[[#This Row],[_Res2Text]],FIND("[",Tasks[[#This Row],[_Res2Text]]&amp;"[")-1)),res_Initials,0),0)))</f>
        <v>0</v>
      </c>
      <c r="DJ126" s="42" t="n">
        <f aca="false">IF(Tasks[[#This Row],[_Res3Text]]="",0,IFERROR(MATCH(TRIM(LEFT(Tasks[[#This Row],[_Res3Text]],FIND("[",Tasks[[#This Row],[_Res3Text]]&amp;"[")-1)),res_Name,0),IFERROR(MATCH(TRIM(LEFT(Tasks[[#This Row],[_Res3Text]],FIND("[",Tasks[[#This Row],[_Res3Text]]&amp;"[")-1)),res_Initials,0),0)))</f>
        <v>0</v>
      </c>
      <c r="DK126" s="42" t="n">
        <f aca="false">IF(Tasks[[#This Row],[_Res4Text]]="",0,IFERROR(MATCH(TRIM(LEFT(Tasks[[#This Row],[_Res4Text]],FIND("[",Tasks[[#This Row],[_Res4Text]]&amp;"[")-1)),res_Name,0),IFERROR(MATCH(TRIM(LEFT(Tasks[[#This Row],[_Res4Text]],FIND("[",Tasks[[#This Row],[_Res4Text]]&amp;"[")-1)),res_Initials,0),0)))</f>
        <v>0</v>
      </c>
      <c r="DL126" s="42" t="str">
        <f aca="false">IF(Tasks[[#This Row],[_Res1Text]]="","",IF(Tasks[[#This Row],[_Res1Row]]&gt;0,INDEX(res_Name,Tasks[[#This Row],[_Res1Row]]),TRIM(LEFT(Tasks[[#This Row],[_Res1Text]],FIND("[",Tasks[[#This Row],[_Res1Text]]&amp;"[")-1))))</f>
        <v/>
      </c>
      <c r="DM1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6" s="42" t="n">
        <f aca="false">IF(NOT(Tasks[[#This Row],[_IsLeaf]]=1),0,(Tasks[[#This Row],[_Resource1]]&lt;&gt;"")+(Tasks[[#This Row],[_Res2]]&lt;&gt;"")+(Tasks[[#This Row],[_Res3]]&lt;&gt;"")+(Tasks[[#This Row],[_Res4]]&lt;&gt;""))</f>
        <v>0</v>
      </c>
      <c r="DO126" s="42" t="str">
        <f aca="false">IF(Tasks[[#This Row],[_Res2Text]]="","",IF(Tasks[[#This Row],[_Res2Row]]&gt;0,INDEX(res_Name,Tasks[[#This Row],[_Res2Row]]),TRIM(LEFT(Tasks[[#This Row],[_Res2Text]],FIND("[",Tasks[[#This Row],[_Res2Text]]&amp;"[")-1))))</f>
        <v/>
      </c>
      <c r="DP1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6" s="42" t="n">
        <f aca="false">IF(OR(NOT(Tasks[[#This Row],[_IsLeaf]]=1),Tasks[[#This Row],[_Res2Row]]=0),0,N(Tasks[[#This Row],[_Days]])*HoursPerDay*IF(Tasks[[#This Row],[_Res2Units]]="",DefaultUnits,Tasks[[#This Row],[_Res2Units]]))</f>
        <v>0</v>
      </c>
      <c r="DR126" s="42" t="n">
        <f aca="false">IF(AND(AND(Tasks[[#This Row],[_IsLeaf]]=1,Tasks[[#This Row],[_LeafTotalWork]]&gt;0),Tasks[[#This Row],[_Res2Work]]&gt;0),Tasks[[#This Row],[_Res2Work]]/(Tasks[[#This Row],[_FinishWorkday]]-Tasks[[#This Row],[_StartWorkday]]+1),0)</f>
        <v>0</v>
      </c>
      <c r="DS126" s="42" t="n">
        <f aca="false">Tasks[[#This Row],[_Res2WorkPerWD]]*MAX(0,Tasks[[#This Row],[_StartWorkday]]-1)</f>
        <v>0</v>
      </c>
      <c r="DT126" s="42" t="n">
        <f aca="false">Tasks[[#This Row],[_Res2Work]]*Tasks[[#This Row],[_LeafProgress]]</f>
        <v>0</v>
      </c>
      <c r="DU126" s="42" t="str">
        <f aca="false">IF(Tasks[[#This Row],[_Res3Text]]="","",IF(Tasks[[#This Row],[_Res3Row]]&gt;0,INDEX(res_Name,Tasks[[#This Row],[_Res3Row]]),TRIM(LEFT(Tasks[[#This Row],[_Res3Text]],FIND("[",Tasks[[#This Row],[_Res3Text]]&amp;"[")-1))))</f>
        <v/>
      </c>
      <c r="DV1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6" s="42" t="n">
        <f aca="false">IF(OR(NOT(Tasks[[#This Row],[_IsLeaf]]=1),Tasks[[#This Row],[_Res3Row]]=0),0,N(Tasks[[#This Row],[_Days]])*HoursPerDay*IF(Tasks[[#This Row],[_Res3Units]]="",DefaultUnits,Tasks[[#This Row],[_Res3Units]]))</f>
        <v>0</v>
      </c>
      <c r="DX126" s="42" t="n">
        <f aca="false">IF(AND(AND(Tasks[[#This Row],[_IsLeaf]]=1,Tasks[[#This Row],[_LeafTotalWork]]&gt;0),Tasks[[#This Row],[_Res3Work]]&gt;0),Tasks[[#This Row],[_Res3Work]]/(Tasks[[#This Row],[_FinishWorkday]]-Tasks[[#This Row],[_StartWorkday]]+1),0)</f>
        <v>0</v>
      </c>
      <c r="DY126" s="42" t="n">
        <f aca="false">Tasks[[#This Row],[_Res3WorkPerWD]]*MAX(0,Tasks[[#This Row],[_StartWorkday]]-1)</f>
        <v>0</v>
      </c>
      <c r="DZ126" s="42" t="n">
        <f aca="false">Tasks[[#This Row],[_Res3Work]]*Tasks[[#This Row],[_LeafProgress]]</f>
        <v>0</v>
      </c>
      <c r="EA126" s="42" t="str">
        <f aca="false">IF(Tasks[[#This Row],[_Res4Text]]="","",IF(Tasks[[#This Row],[_Res4Row]]&gt;0,INDEX(res_Name,Tasks[[#This Row],[_Res4Row]]),TRIM(LEFT(Tasks[[#This Row],[_Res4Text]],FIND("[",Tasks[[#This Row],[_Res4Text]]&amp;"[")-1))))</f>
        <v/>
      </c>
      <c r="EB1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6" s="42" t="n">
        <f aca="false">IF(OR(NOT(Tasks[[#This Row],[_IsLeaf]]=1),Tasks[[#This Row],[_Res4Row]]=0),0,N(Tasks[[#This Row],[_Days]])*HoursPerDay*IF(Tasks[[#This Row],[_Res4Units]]="",DefaultUnits,Tasks[[#This Row],[_Res4Units]]))</f>
        <v>0</v>
      </c>
      <c r="ED126" s="42" t="n">
        <f aca="false">IF(AND(AND(Tasks[[#This Row],[_IsLeaf]]=1,Tasks[[#This Row],[_LeafTotalWork]]&gt;0),Tasks[[#This Row],[_Res4Work]]&gt;0),Tasks[[#This Row],[_Res4Work]]/(Tasks[[#This Row],[_FinishWorkday]]-Tasks[[#This Row],[_StartWorkday]]+1),0)</f>
        <v>0</v>
      </c>
      <c r="EE126" s="42" t="n">
        <f aca="false">Tasks[[#This Row],[_Res4WorkPerWD]]*MAX(0,Tasks[[#This Row],[_StartWorkday]]-1)</f>
        <v>0</v>
      </c>
      <c r="EF126" s="42" t="n">
        <f aca="false">Tasks[[#This Row],[_Res4Work]]*Tasks[[#This Row],[_LeafProgress]]</f>
        <v>0</v>
      </c>
      <c r="EG126" s="42" t="n">
        <f aca="false">IF(ISNUMBER(Tasks[[#This Row],[% Complete]]),Tasks[[#This Row],[% Complete]],IF(Tasks[[#This Row],[Stage]]="",0,IFERROR(INDEX(stg_Pct,MATCH(Tasks[[#This Row],[Stage]],stg_Name,0)),0)))</f>
        <v>0</v>
      </c>
      <c r="EH126" s="42" t="n">
        <f aca="false">IF(NOT(Tasks[[#This Row],[_IsLeaf]]=1),0,IF(N(Tasks[[#This Row],[Actual Finish]])&gt;0,1,MIN(1,Tasks[[#This Row],[_Pct]])))</f>
        <v>0</v>
      </c>
      <c r="EI126" s="42" t="n">
        <f aca="false">IF(OR(NOT(Tasks[[#This Row],[_IsLeaf]]=1),Tasks[[#This Row],[_Res1Row]]=0),0,N(Tasks[[#This Row],[_Days]])*HoursPerDay*IF(Tasks[[#This Row],[_Units1]]="",DefaultUnits,Tasks[[#This Row],[_Units1]]))</f>
        <v>0</v>
      </c>
      <c r="EJ126" s="42" t="n">
        <f aca="false">Tasks[[#This Row],[_LeafWork]]+Tasks[[#This Row],[_Res2Work]]+Tasks[[#This Row],[_Res3Work]]+Tasks[[#This Row],[_Res4Work]]</f>
        <v>0</v>
      </c>
      <c r="EK1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6" s="42" t="n">
        <f aca="false">IF(NOT(Tasks[[#This Row],[_IsLeaf]]=1),0,MAX(_xlfn.MAXIFS(Tasks[_Row],Tasks[_Pred1UID],Tasks[[#This Row],[UID]]),_xlfn.MAXIFS(Tasks[_Row],Tasks[_Pred2UID],Tasks[[#This Row],[UID]]),_xlfn.MAXIFS(Tasks[_Row],Tasks[_Pred3UID],Tasks[[#This Row],[UID]]),_xlfn.MAXIFS(Tasks[_Row],Tasks[_Pred4UID],Tasks[[#This Row],[UID]])))</f>
        <v>0</v>
      </c>
      <c r="ET1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6" s="89" t="str">
        <f aca="false">IF(NOT(Tasks[[#This Row],[_IsLeaf]]=1),"",IF(N(Tasks[[#This Row],[_Days]])&lt;=0,Tasks[[#This Row],[_LeafLateFinish]],WORKDAY.INTL(Tasks[[#This Row],[_LeafLateFinish]],-(Tasks[[#This Row],[_Days]]-1),WorkWeek,Holidays)))</f>
        <v/>
      </c>
      <c r="EW1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6" s="88" t="b">
        <f aca="false">AND(Tasks[[#This Row],[_IsLeaf]]=1,Tasks[[#This Row],[_LeafProgress]]&lt;1,N(Tasks[[#This Row],[_LeafTotalSlack]])&lt;=CriticalSlackDays)</f>
        <v>0</v>
      </c>
      <c r="EY126" s="42" t="n">
        <f aca="false">IF(AND(Tasks[[#This Row],[_IsLeaf]]=1,Tasks[[#This Row],[_ConstraintCode]]=1,Tasks[[#This Row],[Mode]]&lt;&gt;"Manual",N(Tasks[[#This Row],[Actual Start]])=0),MAX(0,N(Tasks[[#This Row],[Free Slack]])),0)</f>
        <v>0</v>
      </c>
      <c r="EZ126" s="89" t="str">
        <f aca="false">IF(NOT(Tasks[[#This Row],[_IsLeaf]]=1),"",IF(Tasks[[#This Row],[_AlapShift]]=0,Tasks[[#This Row],[_LeafCalcStart]],WORKDAY.INTL(Tasks[[#This Row],[_LeafCalcStart]],Tasks[[#This Row],[_AlapShift]],WorkWeek,Holidays)))</f>
        <v/>
      </c>
      <c r="FA126" s="89" t="str">
        <f aca="false">IF(NOT(Tasks[[#This Row],[_IsLeaf]]=1),"",IF(Tasks[[#This Row],[_AlapShift]]=0,Tasks[[#This Row],[_LeafCalcFinish]],WORKDAY.INTL(Tasks[[#This Row],[_LeafCalcFinish]],Tasks[[#This Row],[_AlapShift]],WorkWeek,Holidays)))</f>
        <v/>
      </c>
      <c r="FB126" s="89" t="str">
        <f aca="false">IF(NOT(Tasks[[#This Row],[_IsLeaf]]=1),"",IF(Tasks[[#This Row],[_AlapShift]]=0,Tasks[[#This Row],[_LeafFcstStart]],WORKDAY.INTL(Tasks[[#This Row],[_LeafFcstStart]],Tasks[[#This Row],[_AlapShift]],WorkWeek,Holidays)))</f>
        <v/>
      </c>
      <c r="FC126" s="89" t="str">
        <f aca="false">IF(NOT(Tasks[[#This Row],[_IsLeaf]]=1),"",IF(Tasks[[#This Row],[_AlapShift]]=0,Tasks[[#This Row],[_LeafFcstFinish]],WORKDAY.INTL(Tasks[[#This Row],[_LeafFcstFinish]],Tasks[[#This Row],[_AlapShift]],WorkWeek,Holidays)))</f>
        <v/>
      </c>
      <c r="FD126" s="89" t="str">
        <f aca="false">IF(Tasks[[#This Row],[Task Name]]="","",IF(Tasks[[#This Row],[_IsSummary]],MIN(INDEX(Tasks[_ShownCalcStart],Tasks[[#This Row],[_Row]]+1):INDEX(Tasks[_ShownCalcStart],Tasks[[#This Row],[_Row]]+Tasks[[#This Row],[_Descendants]])),Tasks[[#This Row],[_ShownCalcStart]]))</f>
        <v/>
      </c>
      <c r="FE126" s="89" t="str">
        <f aca="false">IF(Tasks[[#This Row],[Task Name]]="","",IF(Tasks[[#This Row],[_IsSummary]],MAX(INDEX(Tasks[_ShownCalcFinish],Tasks[[#This Row],[_Row]]+1):INDEX(Tasks[_ShownCalcFinish],Tasks[[#This Row],[_Row]]+Tasks[[#This Row],[_Descendants]])),Tasks[[#This Row],[_ShownCalcFinish]]))</f>
        <v/>
      </c>
      <c r="FF1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6" s="42" t="n">
        <f aca="false">IF(AND(Tasks[[#This Row],[_IsLeaf]]=1,Tasks[[#This Row],[_LeafTotalWork]]&gt;0),NETWORKDAYS.INTL(ProjectStart,Tasks[[#This Row],[_ShownFcstStart]],WorkWeek,Holidays),0)</f>
        <v>0</v>
      </c>
      <c r="FS126" s="42" t="n">
        <f aca="false">IF(AND(Tasks[[#This Row],[_IsLeaf]]=1,Tasks[[#This Row],[_LeafTotalWork]]&gt;0),MAX(Tasks[[#This Row],[_StartWorkday]],NETWORKDAYS.INTL(ProjectStart,Tasks[[#This Row],[_ShownFcstFinish]],WorkWeek,Holidays)),0)</f>
        <v>0</v>
      </c>
      <c r="FT126" s="42" t="n">
        <f aca="false">IF(AND(Tasks[[#This Row],[_IsLeaf]]=1,Tasks[[#This Row],[_LeafTotalWork]]&gt;0),Tasks[[#This Row],[_LeafWork]]/(Tasks[[#This Row],[_FinishWorkday]]-Tasks[[#This Row],[_StartWorkday]]+1),0)</f>
        <v>0</v>
      </c>
      <c r="FU126" s="42" t="n">
        <f aca="false">Tasks[[#This Row],[_WorkPerWorkday]]*(Tasks[[#This Row],[_StartWorkday]]-1)</f>
        <v>-0</v>
      </c>
      <c r="FV126" s="42" t="n">
        <f aca="false">IF(Tasks[[#This Row],[_IsLeaf]]=1,MAX(N(Tasks[[#This Row],[_Days]]),0.1),0)</f>
        <v>0</v>
      </c>
      <c r="FW126" s="42" t="n">
        <f aca="false">Tasks[[#This Row],[_WeightDur]]*Tasks[[#This Row],[_LeafProgress]]</f>
        <v>0</v>
      </c>
      <c r="FX126" s="42" t="n">
        <f aca="false">Tasks[[#This Row],[_WeightDur]]*Tasks[[#This Row],[_PlannedPct]]</f>
        <v>0</v>
      </c>
      <c r="FY1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6" s="42" t="str">
        <f aca="false">IF(AND(Tasks[[#This Row],[_IsLeaf]]=1,N(Tasks[[#This Row],[_Days]])=0,Tasks[[#This Row],[_LeafProgress]]&lt;1),Tasks[[#This Row],[_ShownFcstFinish]]+Tasks[[#This Row],[_Row]]/100000,"")</f>
        <v/>
      </c>
      <c r="GA1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6" s="42" t="str">
        <f aca="false">IF(Tasks[[#This Row],[Task Name]]="","",LEFT(Tasks[[#This Row],[WBS]],FIND(".",Tasks[[#This Row],[WBS]]&amp;".")-1))</f>
        <v/>
      </c>
      <c r="GC126" s="42" t="str">
        <f aca="false">IF(AND(Tasks[[#This Row],[Task Name]]&lt;&gt;"",Tasks[[#This Row],[_Level]]=1),Tasks[[#This Row],[_Row]],"")</f>
        <v/>
      </c>
      <c r="GD126" s="42" t="str">
        <f aca="false">IF(AND(Tasks[[#This Row],[_IsLeaf]]=1,N(Tasks[[#This Row],[_Days]])=0),Tasks[[#This Row],[Planned Finish]]+Tasks[[#This Row],[_Row]]/100000,"")</f>
        <v/>
      </c>
      <c r="GE126" s="42" t="str">
        <f aca="false">IF(AND(Tasks[[#This Row],[_IsLeaf]]=1,Tasks[[#This Row],[_LeafProgress]]&lt;1,OR(N(Tasks[[#This Row],[Finish Var]])&gt;0,Tasks[[#This Row],[Status]]="Late Start")),MAX(0,Tasks[[#This Row],[Finish Var]])+1-Tasks[[#This Row],[_Row]]/1000000,"")</f>
        <v/>
      </c>
      <c r="GF126" s="42" t="str">
        <f aca="false">IF(AND(Tasks[[#This Row],[_IsLeaf]]=1,N(Tasks[[#This Row],[Actual Start]])=0,Tasks[[#This Row],[_ShownFcstStart]]&gt;=StatusDate,Tasks[[#This Row],[_ShownFcstStart]]&lt;=LookaheadEnd),Tasks[[#This Row],[_ShownFcstStart]]+Tasks[[#This Row],[_Row]]/100000,"")</f>
        <v/>
      </c>
      <c r="GG126" s="42" t="str">
        <f aca="false">IF(AND(Tasks[[#This Row],[_IsLeaf]]=1,Tasks[[#This Row],[_LeafProgress]]&lt;1,Tasks[[#This Row],[_ShownFcstFinish]]&gt;=StatusDate,Tasks[[#This Row],[_ShownFcstFinish]]&lt;=LookaheadEnd),Tasks[[#This Row],[_ShownFcstFinish]]+Tasks[[#This Row],[_Row]]/100000,"")</f>
        <v/>
      </c>
      <c r="GH126" s="42" t="str">
        <f aca="false">IF(Tasks[[#This Row],[_LeafCritical]],Tasks[[#This Row],[_ShownFcstStart]]+Tasks[[#This Row],[_Row]]/100000,"")</f>
        <v/>
      </c>
      <c r="GI126" s="42" t="n">
        <f aca="false">Tasks[[#This Row],[_LeafWork]]*Tasks[[#This Row],[_LeafProgress]]</f>
        <v>0</v>
      </c>
      <c r="GJ126" s="89" t="str">
        <f aca="false">IF(AND(Tasks[[#This Row],[_IsLeaf]]=1,Tasks[[#This Row],[_LeafProgress]]&gt;=1),IF(N(Tasks[[#This Row],[Actual Finish]])&gt;0,Tasks[[#This Row],[Actual Finish]],Tasks[[#This Row],[_ShownFcstFinish]]),"")</f>
        <v/>
      </c>
      <c r="GK126" s="42" t="n">
        <f aca="false">IF(Tasks[[#This Row],[_IsLeaf]]=1,N(Tasks[[#This Row],[Story Points]]),0)</f>
        <v>0</v>
      </c>
      <c r="GL126" s="42" t="str">
        <f aca="false">""</f>
        <v/>
      </c>
      <c r="GM126" s="88" t="b">
        <f aca="false">IF(Tasks[[#This Row],[Task Name]]="",FALSE(),AND(Tasks[[#This Row],[_IsLeaf]]=1,N(Tasks[[#This Row],[_Days]])=0))</f>
        <v>0</v>
      </c>
      <c r="GN126" s="89" t="n">
        <f aca="false">IF(Tasks[[#This Row],[Task Name]]="",0,IF(AND(Tasks[[#This Row],[_IsLeaf]]=1,NOT(Tasks[[#This Row],[_IsMilestone]]),N(Tasks[[#This Row],[Progress]])&gt;0),Tasks[[#This Row],[Start]],0))</f>
        <v>0</v>
      </c>
      <c r="GO126" s="89" t="n">
        <f aca="false">IF(Tasks[[#This Row],[_DoneFrom]]=0,0,IF(Tasks[[#This Row],[Progress]]&gt;=1,Tasks[[#This Row],[Finish]],MAX(Tasks[[#This Row],[_DoneFrom]],Tasks[[#This Row],[Start]]+ROUND((Tasks[[#This Row],[Finish]]-Tasks[[#This Row],[Start]]+1)*Tasks[[#This Row],[Progress]],0)-1)))</f>
        <v>0</v>
      </c>
      <c r="GP126" s="89" t="n">
        <f aca="false">IF(Tasks[[#This Row],[Task Name]]="",0,IF(OR(NOT(Tasks[[#This Row],[_IsLeaf]]=1),Tasks[[#This Row],[_IsMilestone]],N(Tasks[[#This Row],[Progress]])&gt;=1),0,IF(Tasks[[#This Row],[_DoneTo]]&gt;0,Tasks[[#This Row],[_DoneTo]]+1,Tasks[[#This Row],[Start]])))</f>
        <v>0</v>
      </c>
      <c r="GQ126" s="89" t="n">
        <f aca="false">IF(Tasks[[#This Row],[_RemFrom]]=0,0,Tasks[[#This Row],[Finish]])</f>
        <v>0</v>
      </c>
      <c r="GR126" s="88" t="b">
        <f aca="false">IF(Tasks[[#This Row],[Task Name]]="",FALSE(),OR(NOT(BaselineSet),N(Tasks[[#This Row],[Baseline Start]])&gt;0))</f>
        <v>0</v>
      </c>
      <c r="GS1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6" s="90" t="str">
        <f aca="false">IF(Tasks[[#This Row],[_IsLeaf]]=1,Tasks[[#This Row],[_Row]],"")</f>
        <v/>
      </c>
      <c r="GW126" s="90" t="str">
        <f aca="false">IFERROR(INDEX(Tasks[UID],SMALL(Tasks[_PickKey],Tasks[[#This Row],[_Row]]))&amp;" "&amp;INDEX(Tasks[Task Name],SMALL(Tasks[_PickKey],Tasks[[#This Row],[_Row]])),"")</f>
        <v/>
      </c>
      <c r="GX126" s="42" t="str">
        <f aca="false">IF(Tasks[[#This Row],[Task Name]]="","",IF(Tasks[[#This Row],[_IsSummary]],NETWORKDAYS.INTL(Tasks[[#This Row],[Start]],Tasks[[#This Row],[Finish]],WorkWeek,Holidays),N(Tasks[[#This Row],[_Days]])))</f>
        <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3"/>
      <c r="U127" s="23"/>
      <c r="V127" s="83"/>
      <c r="W127" s="23"/>
      <c r="X127" s="83"/>
      <c r="Y127" s="23"/>
      <c r="Z127" s="83"/>
      <c r="AA127" s="23"/>
      <c r="AB127" s="23"/>
      <c r="AC127" s="7"/>
      <c r="AD127" s="7"/>
      <c r="AE127" s="62" t="str">
        <f aca="false">IF(Tasks[[#This Row],[Task Name]]="","",IF(Tasks[[#This Row],[_IsSummary]],MIN(INDEX(Tasks[_ShownFcstStart],Tasks[[#This Row],[_Row]]+1):INDEX(Tasks[_ShownFcstStart],Tasks[[#This Row],[_Row]]+Tasks[[#This Row],[_Descendants]])),Tasks[[#This Row],[_ShownFcstStart]]))</f>
        <v/>
      </c>
      <c r="AF127" s="62"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7" s="7"/>
      <c r="AK127" s="22"/>
      <c r="AL127" s="23"/>
      <c r="AM127" s="7"/>
      <c r="AN127" s="46"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2" t="str">
        <f aca="false">IF(Tasks[[#This Row],[Task Name]]="","",IF(N(Tasks[[#This Row],[Baseline Start]])&gt;0,Tasks[[#This Row],[Baseline Start]],Tasks[[#This Row],[_CalcStart]]))</f>
        <v/>
      </c>
      <c r="AR127" s="62" t="str">
        <f aca="false">IF(Tasks[[#This Row],[Task Name]]="","",IF(N(Tasks[[#This Row],[Baseline Finish]])&gt;0,Tasks[[#This Row],[Baseline Finish]],Tasks[[#This Row],[_CalcFinish]]))</f>
        <v/>
      </c>
      <c r="AS127" s="46" t="str">
        <f aca="false">IF(Tasks[[#This Row],[Task Name]]="","",IF(Tasks[[#This Row],[Start]]&gt;=Tasks[[#This Row],[Planned Start]],NETWORKDAYS.INTL(Tasks[[#This Row],[Planned Start]],Tasks[[#This Row],[Start]],WorkWeek,Holidays)-1,1-NETWORKDAYS.INTL(Tasks[[#This Row],[Start]],Tasks[[#This Row],[Planned Start]],WorkWeek,Holidays)))</f>
        <v/>
      </c>
      <c r="AT127" s="62" t="str">
        <f aca="false">IF(Tasks[[#This Row],[Task Name]]="","",IF(Tasks[[#This Row],[_IsSummary]],MIN(INDEX(Tasks[_LeafLateStart],Tasks[[#This Row],[_Row]]+1):INDEX(Tasks[_LeafLateStart],Tasks[[#This Row],[_Row]]+Tasks[[#This Row],[_Descendants]])),Tasks[[#This Row],[_LeafLateStart]]))</f>
        <v/>
      </c>
      <c r="AU127" s="62" t="str">
        <f aca="false">IF(Tasks[[#This Row],[Task Name]]="","",IF(Tasks[[#This Row],[_IsSummary]],MAX(INDEX(Tasks[_LeafLateFinish],Tasks[[#This Row],[_Row]]+1):INDEX(Tasks[_LeafLateFinish],Tasks[[#This Row],[_Row]]+Tasks[[#This Row],[_Descendants]])),Tasks[[#This Row],[_LeafLateFinish]]))</f>
        <v/>
      </c>
      <c r="AV127" s="46"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4"/>
      <c r="BA1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5"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6"/>
      <c r="BJ127" s="22"/>
      <c r="BK127" s="46" t="str">
        <f aca="false">IF(OR(Tasks[[#This Row],[Task Name]]="",Tasks[[#This Row],[Baseline Duration]]=""),"",Tasks[[#This Row],[_SpanDays]]-N(Tasks[[#This Row],[Baseline Duration]]))</f>
        <v/>
      </c>
      <c r="BL127" s="85" t="str">
        <f aca="false">IF(OR(Tasks[[#This Row],[Task Name]]="",Tasks[[#This Row],[Baseline Work]]=""),"",Tasks[[#This Row],[Work]]-N(Tasks[[#This Row],[Baseline Work]]))</f>
        <v/>
      </c>
      <c r="BM127" s="62" t="str">
        <f aca="false">IF(Tasks[[#This Row],[Task Name]]="","",IF(OR(TakeBaseline="Yes",N(Tasks[[#This Row],[Baseline Start]])=0),Tasks[[#This Row],[Start]],Tasks[[#This Row],[Baseline Start]]))</f>
        <v/>
      </c>
      <c r="BN127" s="62"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5" t="str">
        <f aca="false">IF(Tasks[[#This Row],[Task Name]]="","",IF(OR(TakeBaseline="Yes",N(Tasks[[#This Row],[Baseline Work]])=0),Tasks[[#This Row],[Work]],Tasks[[#This Row],[Baseline Work]]))</f>
        <v/>
      </c>
      <c r="BQ127" s="7"/>
      <c r="BR127" s="7"/>
      <c r="BS127" s="22"/>
      <c r="BT127" s="87"/>
      <c r="BU127" s="42" t="str">
        <f aca="false">IF(Tasks[[#This Row],[Task Name]]="","",MAX(1,N(Tasks[[#This Row],[Level]])))</f>
        <v/>
      </c>
      <c r="BV127" s="42" t="n">
        <f aca="false">ROW()-ROW(Tasks[[#Headers],[ID]])</f>
        <v>122</v>
      </c>
      <c r="BW127" s="42" t="n">
        <f aca="false">IF(OR(Tasks[[#This Row],[Task Name]]="",Tasks[[#This Row],[_Level]]&lt;=1),0,IFERROR(LOOKUP(2,1/(Tasks[[#Headers],[_Level]]:Tasks[[#This Row],[_Level]]=Tasks[[#This Row],[_Level]]-1),ROW(Tasks[[#Headers],[_Level]]:Tasks[[#This Row],[_Level]])),0))</f>
        <v>0</v>
      </c>
      <c r="BX127" s="42" t="n">
        <f aca="false">IFERROR(N(INDEX(Tasks[_Level],Tasks[[#This Row],[_Row]]+1)),0)</f>
        <v>0</v>
      </c>
      <c r="BY127" s="88" t="b">
        <f aca="false">AND(Tasks[[#This Row],[Task Name]]&lt;&gt;"",Tasks[[#This Row],[_NextLevel]]&gt;Tasks[[#This Row],[_Level]])</f>
        <v>0</v>
      </c>
      <c r="BZ127" s="42" t="n">
        <f aca="false">IF(Tasks[[#This Row],[_IsSummary]],COUNTIF(Tasks[WBS],Tasks[[#This Row],[WBS]]&amp;".*"),0)</f>
        <v>0</v>
      </c>
      <c r="CA127" s="42" t="n">
        <f aca="false">IF(AND(Tasks[[#This Row],[Task Name]]&lt;&gt;"",NOT(Tasks[[#This Row],[_IsSummary]])),1,0)</f>
        <v>0</v>
      </c>
      <c r="CB127" s="42" t="n">
        <f aca="false">IF(N(Tasks[[#This Row],[_Pred1UID]])=0,0,IFERROR(MATCH(Tasks[[#This Row],[_Pred1UID]],Tasks[UID],0),-1))</f>
        <v>0</v>
      </c>
      <c r="CC127" s="42" t="n">
        <f aca="false">IF(N(Tasks[[#This Row],[_Pred2UID]])=0,0,IFERROR(MATCH(Tasks[[#This Row],[_Pred2UID]],Tasks[UID],0),-1))</f>
        <v>0</v>
      </c>
      <c r="CD127" s="42" t="n">
        <f aca="false">IF(N(Tasks[[#This Row],[_Pred3UID]])=0,0,IFERROR(MATCH(Tasks[[#This Row],[_Pred3UID]],Tasks[UID],0),-1))</f>
        <v>0</v>
      </c>
      <c r="CE127" s="42" t="n">
        <f aca="false">IF(N(Tasks[[#This Row],[_Pred4UID]])=0,0,IFERROR(MATCH(Tasks[[#This Row],[_Pred4UID]],Tasks[UID],0),-1))</f>
        <v>0</v>
      </c>
      <c r="CF1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7" s="89" t="n">
        <f aca="false">IF(OR(Tasks[[#This Row],[_ConstraintCode]]=2,Tasks[[#This Row],[_ConstraintCode]]=3,Tasks[[#This Row],[_ConstraintCode]]=4,Tasks[[#This Row],[_ConstraintCode]]=6),Tasks[[#This Row],[_ConstraintStart]],0)</f>
        <v>0</v>
      </c>
      <c r="CI127" s="89" t="n">
        <f aca="false">IF(OR(Tasks[[#This Row],[_ConstraintCode]]=2,Tasks[[#This Row],[_ConstraintCode]]=3,Tasks[[#This Row],[_ConstraintCode]]=5,Tasks[[#This Row],[_ConstraintCode]]=7),Tasks[[#This Row],[_ConstraintStart]],2958465)</f>
        <v>2958465</v>
      </c>
      <c r="CJ1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7" s="89" t="str">
        <f aca="false">IF(NOT(Tasks[[#This Row],[_IsLeaf]]=1),"",IF(N(Tasks[[#This Row],[_Days]])&lt;=0,Tasks[[#This Row],[_LeafCalcStart]],WORKDAY.INTL(Tasks[[#This Row],[_LeafCalcStart]],Tasks[[#This Row],[_Days]]-1,WorkWeek,Holidays)))</f>
        <v/>
      </c>
      <c r="CL1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7" s="42" t="str">
        <f aca="false">IF(Tasks[[#This Row],[_Predecessors]]="","",TRIM(MID(SUBSTITUTE(SUBSTITUTE(SUBSTITUTE(UPPER(Tasks[[#This Row],[_Predecessors]]),";",",")," ",""),",",REPT(" ",99)),1,99)))</f>
        <v/>
      </c>
      <c r="CO127" s="42" t="str">
        <f aca="false">IF(Tasks[[#This Row],[_Pred1Text]]="","",IFERROR(VALUE(LEFT(Tasks[[#This Row],[_Pred1Text]],MIN(FIND("F",Tasks[[#This Row],[_Pred1Text]]&amp;"F"),FIND("S",Tasks[[#This Row],[_Pred1Text]]&amp;"S"),FIND("+",Tasks[[#This Row],[_Pred1Text]]&amp;"+"),FIND("-",Tasks[[#This Row],[_Pred1Text]]&amp;"-"))-1)),""))</f>
        <v/>
      </c>
      <c r="CP1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7" s="42" t="str">
        <f aca="false">IF(Tasks[[#This Row],[_Pred1Text]]="","",TRIM(MID(SUBSTITUTE(SUBSTITUTE(SUBSTITUTE(UPPER(Tasks[[#This Row],[_Predecessors]]),";",",")," ",""),",",REPT(" ",99)),100,99)))</f>
        <v/>
      </c>
      <c r="CS127" s="42" t="str">
        <f aca="false">IF(Tasks[[#This Row],[_Pred2Text]]="","",IFERROR(VALUE(LEFT(Tasks[[#This Row],[_Pred2Text]],MIN(FIND("F",Tasks[[#This Row],[_Pred2Text]]&amp;"F"),FIND("S",Tasks[[#This Row],[_Pred2Text]]&amp;"S"),FIND("+",Tasks[[#This Row],[_Pred2Text]]&amp;"+"),FIND("-",Tasks[[#This Row],[_Pred2Text]]&amp;"-"))-1)),""))</f>
        <v/>
      </c>
      <c r="CT1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7" s="42" t="str">
        <f aca="false">IF(Tasks[[#This Row],[_Pred2Text]]="","",TRIM(MID(SUBSTITUTE(SUBSTITUTE(SUBSTITUTE(UPPER(Tasks[[#This Row],[_Predecessors]]),";",",")," ",""),",",REPT(" ",99)),199,99)))</f>
        <v/>
      </c>
      <c r="CW127" s="42" t="str">
        <f aca="false">IF(Tasks[[#This Row],[_Pred3Text]]="","",IFERROR(VALUE(LEFT(Tasks[[#This Row],[_Pred3Text]],MIN(FIND("F",Tasks[[#This Row],[_Pred3Text]]&amp;"F"),FIND("S",Tasks[[#This Row],[_Pred3Text]]&amp;"S"),FIND("+",Tasks[[#This Row],[_Pred3Text]]&amp;"+"),FIND("-",Tasks[[#This Row],[_Pred3Text]]&amp;"-"))-1)),""))</f>
        <v/>
      </c>
      <c r="CX1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7" s="42" t="str">
        <f aca="false">IF(Tasks[[#This Row],[_Pred3Text]]="","",TRIM(MID(SUBSTITUTE(SUBSTITUTE(SUBSTITUTE(UPPER(Tasks[[#This Row],[_Predecessors]]),";",",")," ",""),",",REPT(" ",99)),298,99)))</f>
        <v/>
      </c>
      <c r="DA127" s="42" t="str">
        <f aca="false">IF(Tasks[[#This Row],[_Pred4Text]]="","",IFERROR(VALUE(LEFT(Tasks[[#This Row],[_Pred4Text]],MIN(FIND("F",Tasks[[#This Row],[_Pred4Text]]&amp;"F"),FIND("S",Tasks[[#This Row],[_Pred4Text]]&amp;"S"),FIND("+",Tasks[[#This Row],[_Pred4Text]]&amp;"+"),FIND("-",Tasks[[#This Row],[_Pred4Text]]&amp;"-"))-1)),""))</f>
        <v/>
      </c>
      <c r="DB1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7" s="42" t="str">
        <f aca="false">IF(OR(Tasks[[#This Row],[Task Name]]="",Tasks[[#This Row],[_Resources]]=""),"",TRIM(MID(SUBSTITUTE(Tasks[[#This Row],[_Resources]],",",REPT(" ",99)),1,99)))</f>
        <v/>
      </c>
      <c r="DE127" s="42" t="str">
        <f aca="false">IF(Tasks[[#This Row],[_Res1Text]]="","",TRIM(MID(SUBSTITUTE(Tasks[[#This Row],[_Resources]],",",REPT(" ",99)),100,99)))</f>
        <v/>
      </c>
      <c r="DF127" s="42" t="str">
        <f aca="false">IF(Tasks[[#This Row],[_Res2Text]]="","",TRIM(MID(SUBSTITUTE(Tasks[[#This Row],[_Resources]],",",REPT(" ",99)),199,99)))</f>
        <v/>
      </c>
      <c r="DG127" s="42" t="str">
        <f aca="false">IF(Tasks[[#This Row],[_Res3Text]]="","",TRIM(MID(SUBSTITUTE(Tasks[[#This Row],[_Resources]],",",REPT(" ",99)),298,99)))</f>
        <v/>
      </c>
      <c r="DH127" s="42" t="n">
        <f aca="false">IF(Tasks[[#This Row],[_Res1Text]]="",0,IFERROR(MATCH(TRIM(LEFT(Tasks[[#This Row],[_Res1Text]],FIND("[",Tasks[[#This Row],[_Res1Text]]&amp;"[")-1)),res_Name,0),IFERROR(MATCH(TRIM(LEFT(Tasks[[#This Row],[_Res1Text]],FIND("[",Tasks[[#This Row],[_Res1Text]]&amp;"[")-1)),res_Initials,0),0)))</f>
        <v>0</v>
      </c>
      <c r="DI127" s="42" t="n">
        <f aca="false">IF(Tasks[[#This Row],[_Res2Text]]="",0,IFERROR(MATCH(TRIM(LEFT(Tasks[[#This Row],[_Res2Text]],FIND("[",Tasks[[#This Row],[_Res2Text]]&amp;"[")-1)),res_Name,0),IFERROR(MATCH(TRIM(LEFT(Tasks[[#This Row],[_Res2Text]],FIND("[",Tasks[[#This Row],[_Res2Text]]&amp;"[")-1)),res_Initials,0),0)))</f>
        <v>0</v>
      </c>
      <c r="DJ127" s="42" t="n">
        <f aca="false">IF(Tasks[[#This Row],[_Res3Text]]="",0,IFERROR(MATCH(TRIM(LEFT(Tasks[[#This Row],[_Res3Text]],FIND("[",Tasks[[#This Row],[_Res3Text]]&amp;"[")-1)),res_Name,0),IFERROR(MATCH(TRIM(LEFT(Tasks[[#This Row],[_Res3Text]],FIND("[",Tasks[[#This Row],[_Res3Text]]&amp;"[")-1)),res_Initials,0),0)))</f>
        <v>0</v>
      </c>
      <c r="DK127" s="42" t="n">
        <f aca="false">IF(Tasks[[#This Row],[_Res4Text]]="",0,IFERROR(MATCH(TRIM(LEFT(Tasks[[#This Row],[_Res4Text]],FIND("[",Tasks[[#This Row],[_Res4Text]]&amp;"[")-1)),res_Name,0),IFERROR(MATCH(TRIM(LEFT(Tasks[[#This Row],[_Res4Text]],FIND("[",Tasks[[#This Row],[_Res4Text]]&amp;"[")-1)),res_Initials,0),0)))</f>
        <v>0</v>
      </c>
      <c r="DL127" s="42" t="str">
        <f aca="false">IF(Tasks[[#This Row],[_Res1Text]]="","",IF(Tasks[[#This Row],[_Res1Row]]&gt;0,INDEX(res_Name,Tasks[[#This Row],[_Res1Row]]),TRIM(LEFT(Tasks[[#This Row],[_Res1Text]],FIND("[",Tasks[[#This Row],[_Res1Text]]&amp;"[")-1))))</f>
        <v/>
      </c>
      <c r="DM1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7" s="42" t="n">
        <f aca="false">IF(NOT(Tasks[[#This Row],[_IsLeaf]]=1),0,(Tasks[[#This Row],[_Resource1]]&lt;&gt;"")+(Tasks[[#This Row],[_Res2]]&lt;&gt;"")+(Tasks[[#This Row],[_Res3]]&lt;&gt;"")+(Tasks[[#This Row],[_Res4]]&lt;&gt;""))</f>
        <v>0</v>
      </c>
      <c r="DO127" s="42" t="str">
        <f aca="false">IF(Tasks[[#This Row],[_Res2Text]]="","",IF(Tasks[[#This Row],[_Res2Row]]&gt;0,INDEX(res_Name,Tasks[[#This Row],[_Res2Row]]),TRIM(LEFT(Tasks[[#This Row],[_Res2Text]],FIND("[",Tasks[[#This Row],[_Res2Text]]&amp;"[")-1))))</f>
        <v/>
      </c>
      <c r="DP1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7" s="42" t="n">
        <f aca="false">IF(OR(NOT(Tasks[[#This Row],[_IsLeaf]]=1),Tasks[[#This Row],[_Res2Row]]=0),0,N(Tasks[[#This Row],[_Days]])*HoursPerDay*IF(Tasks[[#This Row],[_Res2Units]]="",DefaultUnits,Tasks[[#This Row],[_Res2Units]]))</f>
        <v>0</v>
      </c>
      <c r="DR127" s="42" t="n">
        <f aca="false">IF(AND(AND(Tasks[[#This Row],[_IsLeaf]]=1,Tasks[[#This Row],[_LeafTotalWork]]&gt;0),Tasks[[#This Row],[_Res2Work]]&gt;0),Tasks[[#This Row],[_Res2Work]]/(Tasks[[#This Row],[_FinishWorkday]]-Tasks[[#This Row],[_StartWorkday]]+1),0)</f>
        <v>0</v>
      </c>
      <c r="DS127" s="42" t="n">
        <f aca="false">Tasks[[#This Row],[_Res2WorkPerWD]]*MAX(0,Tasks[[#This Row],[_StartWorkday]]-1)</f>
        <v>0</v>
      </c>
      <c r="DT127" s="42" t="n">
        <f aca="false">Tasks[[#This Row],[_Res2Work]]*Tasks[[#This Row],[_LeafProgress]]</f>
        <v>0</v>
      </c>
      <c r="DU127" s="42" t="str">
        <f aca="false">IF(Tasks[[#This Row],[_Res3Text]]="","",IF(Tasks[[#This Row],[_Res3Row]]&gt;0,INDEX(res_Name,Tasks[[#This Row],[_Res3Row]]),TRIM(LEFT(Tasks[[#This Row],[_Res3Text]],FIND("[",Tasks[[#This Row],[_Res3Text]]&amp;"[")-1))))</f>
        <v/>
      </c>
      <c r="DV1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7" s="42" t="n">
        <f aca="false">IF(OR(NOT(Tasks[[#This Row],[_IsLeaf]]=1),Tasks[[#This Row],[_Res3Row]]=0),0,N(Tasks[[#This Row],[_Days]])*HoursPerDay*IF(Tasks[[#This Row],[_Res3Units]]="",DefaultUnits,Tasks[[#This Row],[_Res3Units]]))</f>
        <v>0</v>
      </c>
      <c r="DX127" s="42" t="n">
        <f aca="false">IF(AND(AND(Tasks[[#This Row],[_IsLeaf]]=1,Tasks[[#This Row],[_LeafTotalWork]]&gt;0),Tasks[[#This Row],[_Res3Work]]&gt;0),Tasks[[#This Row],[_Res3Work]]/(Tasks[[#This Row],[_FinishWorkday]]-Tasks[[#This Row],[_StartWorkday]]+1),0)</f>
        <v>0</v>
      </c>
      <c r="DY127" s="42" t="n">
        <f aca="false">Tasks[[#This Row],[_Res3WorkPerWD]]*MAX(0,Tasks[[#This Row],[_StartWorkday]]-1)</f>
        <v>0</v>
      </c>
      <c r="DZ127" s="42" t="n">
        <f aca="false">Tasks[[#This Row],[_Res3Work]]*Tasks[[#This Row],[_LeafProgress]]</f>
        <v>0</v>
      </c>
      <c r="EA127" s="42" t="str">
        <f aca="false">IF(Tasks[[#This Row],[_Res4Text]]="","",IF(Tasks[[#This Row],[_Res4Row]]&gt;0,INDEX(res_Name,Tasks[[#This Row],[_Res4Row]]),TRIM(LEFT(Tasks[[#This Row],[_Res4Text]],FIND("[",Tasks[[#This Row],[_Res4Text]]&amp;"[")-1))))</f>
        <v/>
      </c>
      <c r="EB1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7" s="42" t="n">
        <f aca="false">IF(OR(NOT(Tasks[[#This Row],[_IsLeaf]]=1),Tasks[[#This Row],[_Res4Row]]=0),0,N(Tasks[[#This Row],[_Days]])*HoursPerDay*IF(Tasks[[#This Row],[_Res4Units]]="",DefaultUnits,Tasks[[#This Row],[_Res4Units]]))</f>
        <v>0</v>
      </c>
      <c r="ED127" s="42" t="n">
        <f aca="false">IF(AND(AND(Tasks[[#This Row],[_IsLeaf]]=1,Tasks[[#This Row],[_LeafTotalWork]]&gt;0),Tasks[[#This Row],[_Res4Work]]&gt;0),Tasks[[#This Row],[_Res4Work]]/(Tasks[[#This Row],[_FinishWorkday]]-Tasks[[#This Row],[_StartWorkday]]+1),0)</f>
        <v>0</v>
      </c>
      <c r="EE127" s="42" t="n">
        <f aca="false">Tasks[[#This Row],[_Res4WorkPerWD]]*MAX(0,Tasks[[#This Row],[_StartWorkday]]-1)</f>
        <v>0</v>
      </c>
      <c r="EF127" s="42" t="n">
        <f aca="false">Tasks[[#This Row],[_Res4Work]]*Tasks[[#This Row],[_LeafProgress]]</f>
        <v>0</v>
      </c>
      <c r="EG127" s="42" t="n">
        <f aca="false">IF(ISNUMBER(Tasks[[#This Row],[% Complete]]),Tasks[[#This Row],[% Complete]],IF(Tasks[[#This Row],[Stage]]="",0,IFERROR(INDEX(stg_Pct,MATCH(Tasks[[#This Row],[Stage]],stg_Name,0)),0)))</f>
        <v>0</v>
      </c>
      <c r="EH127" s="42" t="n">
        <f aca="false">IF(NOT(Tasks[[#This Row],[_IsLeaf]]=1),0,IF(N(Tasks[[#This Row],[Actual Finish]])&gt;0,1,MIN(1,Tasks[[#This Row],[_Pct]])))</f>
        <v>0</v>
      </c>
      <c r="EI127" s="42" t="n">
        <f aca="false">IF(OR(NOT(Tasks[[#This Row],[_IsLeaf]]=1),Tasks[[#This Row],[_Res1Row]]=0),0,N(Tasks[[#This Row],[_Days]])*HoursPerDay*IF(Tasks[[#This Row],[_Units1]]="",DefaultUnits,Tasks[[#This Row],[_Units1]]))</f>
        <v>0</v>
      </c>
      <c r="EJ127" s="42" t="n">
        <f aca="false">Tasks[[#This Row],[_LeafWork]]+Tasks[[#This Row],[_Res2Work]]+Tasks[[#This Row],[_Res3Work]]+Tasks[[#This Row],[_Res4Work]]</f>
        <v>0</v>
      </c>
      <c r="EK1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7" s="42" t="n">
        <f aca="false">IF(NOT(Tasks[[#This Row],[_IsLeaf]]=1),0,MAX(_xlfn.MAXIFS(Tasks[_Row],Tasks[_Pred1UID],Tasks[[#This Row],[UID]]),_xlfn.MAXIFS(Tasks[_Row],Tasks[_Pred2UID],Tasks[[#This Row],[UID]]),_xlfn.MAXIFS(Tasks[_Row],Tasks[_Pred3UID],Tasks[[#This Row],[UID]]),_xlfn.MAXIFS(Tasks[_Row],Tasks[_Pred4UID],Tasks[[#This Row],[UID]])))</f>
        <v>0</v>
      </c>
      <c r="ET1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7" s="89" t="str">
        <f aca="false">IF(NOT(Tasks[[#This Row],[_IsLeaf]]=1),"",IF(N(Tasks[[#This Row],[_Days]])&lt;=0,Tasks[[#This Row],[_LeafLateFinish]],WORKDAY.INTL(Tasks[[#This Row],[_LeafLateFinish]],-(Tasks[[#This Row],[_Days]]-1),WorkWeek,Holidays)))</f>
        <v/>
      </c>
      <c r="EW1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7" s="88" t="b">
        <f aca="false">AND(Tasks[[#This Row],[_IsLeaf]]=1,Tasks[[#This Row],[_LeafProgress]]&lt;1,N(Tasks[[#This Row],[_LeafTotalSlack]])&lt;=CriticalSlackDays)</f>
        <v>0</v>
      </c>
      <c r="EY127" s="42" t="n">
        <f aca="false">IF(AND(Tasks[[#This Row],[_IsLeaf]]=1,Tasks[[#This Row],[_ConstraintCode]]=1,Tasks[[#This Row],[Mode]]&lt;&gt;"Manual",N(Tasks[[#This Row],[Actual Start]])=0),MAX(0,N(Tasks[[#This Row],[Free Slack]])),0)</f>
        <v>0</v>
      </c>
      <c r="EZ127" s="89" t="str">
        <f aca="false">IF(NOT(Tasks[[#This Row],[_IsLeaf]]=1),"",IF(Tasks[[#This Row],[_AlapShift]]=0,Tasks[[#This Row],[_LeafCalcStart]],WORKDAY.INTL(Tasks[[#This Row],[_LeafCalcStart]],Tasks[[#This Row],[_AlapShift]],WorkWeek,Holidays)))</f>
        <v/>
      </c>
      <c r="FA127" s="89" t="str">
        <f aca="false">IF(NOT(Tasks[[#This Row],[_IsLeaf]]=1),"",IF(Tasks[[#This Row],[_AlapShift]]=0,Tasks[[#This Row],[_LeafCalcFinish]],WORKDAY.INTL(Tasks[[#This Row],[_LeafCalcFinish]],Tasks[[#This Row],[_AlapShift]],WorkWeek,Holidays)))</f>
        <v/>
      </c>
      <c r="FB127" s="89" t="str">
        <f aca="false">IF(NOT(Tasks[[#This Row],[_IsLeaf]]=1),"",IF(Tasks[[#This Row],[_AlapShift]]=0,Tasks[[#This Row],[_LeafFcstStart]],WORKDAY.INTL(Tasks[[#This Row],[_LeafFcstStart]],Tasks[[#This Row],[_AlapShift]],WorkWeek,Holidays)))</f>
        <v/>
      </c>
      <c r="FC127" s="89" t="str">
        <f aca="false">IF(NOT(Tasks[[#This Row],[_IsLeaf]]=1),"",IF(Tasks[[#This Row],[_AlapShift]]=0,Tasks[[#This Row],[_LeafFcstFinish]],WORKDAY.INTL(Tasks[[#This Row],[_LeafFcstFinish]],Tasks[[#This Row],[_AlapShift]],WorkWeek,Holidays)))</f>
        <v/>
      </c>
      <c r="FD127" s="89" t="str">
        <f aca="false">IF(Tasks[[#This Row],[Task Name]]="","",IF(Tasks[[#This Row],[_IsSummary]],MIN(INDEX(Tasks[_ShownCalcStart],Tasks[[#This Row],[_Row]]+1):INDEX(Tasks[_ShownCalcStart],Tasks[[#This Row],[_Row]]+Tasks[[#This Row],[_Descendants]])),Tasks[[#This Row],[_ShownCalcStart]]))</f>
        <v/>
      </c>
      <c r="FE127" s="89" t="str">
        <f aca="false">IF(Tasks[[#This Row],[Task Name]]="","",IF(Tasks[[#This Row],[_IsSummary]],MAX(INDEX(Tasks[_ShownCalcFinish],Tasks[[#This Row],[_Row]]+1):INDEX(Tasks[_ShownCalcFinish],Tasks[[#This Row],[_Row]]+Tasks[[#This Row],[_Descendants]])),Tasks[[#This Row],[_ShownCalcFinish]]))</f>
        <v/>
      </c>
      <c r="FF1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7" s="42" t="n">
        <f aca="false">IF(AND(Tasks[[#This Row],[_IsLeaf]]=1,Tasks[[#This Row],[_LeafTotalWork]]&gt;0),NETWORKDAYS.INTL(ProjectStart,Tasks[[#This Row],[_ShownFcstStart]],WorkWeek,Holidays),0)</f>
        <v>0</v>
      </c>
      <c r="FS127" s="42" t="n">
        <f aca="false">IF(AND(Tasks[[#This Row],[_IsLeaf]]=1,Tasks[[#This Row],[_LeafTotalWork]]&gt;0),MAX(Tasks[[#This Row],[_StartWorkday]],NETWORKDAYS.INTL(ProjectStart,Tasks[[#This Row],[_ShownFcstFinish]],WorkWeek,Holidays)),0)</f>
        <v>0</v>
      </c>
      <c r="FT127" s="42" t="n">
        <f aca="false">IF(AND(Tasks[[#This Row],[_IsLeaf]]=1,Tasks[[#This Row],[_LeafTotalWork]]&gt;0),Tasks[[#This Row],[_LeafWork]]/(Tasks[[#This Row],[_FinishWorkday]]-Tasks[[#This Row],[_StartWorkday]]+1),0)</f>
        <v>0</v>
      </c>
      <c r="FU127" s="42" t="n">
        <f aca="false">Tasks[[#This Row],[_WorkPerWorkday]]*(Tasks[[#This Row],[_StartWorkday]]-1)</f>
        <v>-0</v>
      </c>
      <c r="FV127" s="42" t="n">
        <f aca="false">IF(Tasks[[#This Row],[_IsLeaf]]=1,MAX(N(Tasks[[#This Row],[_Days]]),0.1),0)</f>
        <v>0</v>
      </c>
      <c r="FW127" s="42" t="n">
        <f aca="false">Tasks[[#This Row],[_WeightDur]]*Tasks[[#This Row],[_LeafProgress]]</f>
        <v>0</v>
      </c>
      <c r="FX127" s="42" t="n">
        <f aca="false">Tasks[[#This Row],[_WeightDur]]*Tasks[[#This Row],[_PlannedPct]]</f>
        <v>0</v>
      </c>
      <c r="FY1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7" s="42" t="str">
        <f aca="false">IF(AND(Tasks[[#This Row],[_IsLeaf]]=1,N(Tasks[[#This Row],[_Days]])=0,Tasks[[#This Row],[_LeafProgress]]&lt;1),Tasks[[#This Row],[_ShownFcstFinish]]+Tasks[[#This Row],[_Row]]/100000,"")</f>
        <v/>
      </c>
      <c r="GA1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7" s="42" t="str">
        <f aca="false">IF(Tasks[[#This Row],[Task Name]]="","",LEFT(Tasks[[#This Row],[WBS]],FIND(".",Tasks[[#This Row],[WBS]]&amp;".")-1))</f>
        <v/>
      </c>
      <c r="GC127" s="42" t="str">
        <f aca="false">IF(AND(Tasks[[#This Row],[Task Name]]&lt;&gt;"",Tasks[[#This Row],[_Level]]=1),Tasks[[#This Row],[_Row]],"")</f>
        <v/>
      </c>
      <c r="GD127" s="42" t="str">
        <f aca="false">IF(AND(Tasks[[#This Row],[_IsLeaf]]=1,N(Tasks[[#This Row],[_Days]])=0),Tasks[[#This Row],[Planned Finish]]+Tasks[[#This Row],[_Row]]/100000,"")</f>
        <v/>
      </c>
      <c r="GE127" s="42" t="str">
        <f aca="false">IF(AND(Tasks[[#This Row],[_IsLeaf]]=1,Tasks[[#This Row],[_LeafProgress]]&lt;1,OR(N(Tasks[[#This Row],[Finish Var]])&gt;0,Tasks[[#This Row],[Status]]="Late Start")),MAX(0,Tasks[[#This Row],[Finish Var]])+1-Tasks[[#This Row],[_Row]]/1000000,"")</f>
        <v/>
      </c>
      <c r="GF127" s="42" t="str">
        <f aca="false">IF(AND(Tasks[[#This Row],[_IsLeaf]]=1,N(Tasks[[#This Row],[Actual Start]])=0,Tasks[[#This Row],[_ShownFcstStart]]&gt;=StatusDate,Tasks[[#This Row],[_ShownFcstStart]]&lt;=LookaheadEnd),Tasks[[#This Row],[_ShownFcstStart]]+Tasks[[#This Row],[_Row]]/100000,"")</f>
        <v/>
      </c>
      <c r="GG127" s="42" t="str">
        <f aca="false">IF(AND(Tasks[[#This Row],[_IsLeaf]]=1,Tasks[[#This Row],[_LeafProgress]]&lt;1,Tasks[[#This Row],[_ShownFcstFinish]]&gt;=StatusDate,Tasks[[#This Row],[_ShownFcstFinish]]&lt;=LookaheadEnd),Tasks[[#This Row],[_ShownFcstFinish]]+Tasks[[#This Row],[_Row]]/100000,"")</f>
        <v/>
      </c>
      <c r="GH127" s="42" t="str">
        <f aca="false">IF(Tasks[[#This Row],[_LeafCritical]],Tasks[[#This Row],[_ShownFcstStart]]+Tasks[[#This Row],[_Row]]/100000,"")</f>
        <v/>
      </c>
      <c r="GI127" s="42" t="n">
        <f aca="false">Tasks[[#This Row],[_LeafWork]]*Tasks[[#This Row],[_LeafProgress]]</f>
        <v>0</v>
      </c>
      <c r="GJ127" s="89" t="str">
        <f aca="false">IF(AND(Tasks[[#This Row],[_IsLeaf]]=1,Tasks[[#This Row],[_LeafProgress]]&gt;=1),IF(N(Tasks[[#This Row],[Actual Finish]])&gt;0,Tasks[[#This Row],[Actual Finish]],Tasks[[#This Row],[_ShownFcstFinish]]),"")</f>
        <v/>
      </c>
      <c r="GK127" s="42" t="n">
        <f aca="false">IF(Tasks[[#This Row],[_IsLeaf]]=1,N(Tasks[[#This Row],[Story Points]]),0)</f>
        <v>0</v>
      </c>
      <c r="GL127" s="42" t="str">
        <f aca="false">""</f>
        <v/>
      </c>
      <c r="GM127" s="88" t="b">
        <f aca="false">IF(Tasks[[#This Row],[Task Name]]="",FALSE(),AND(Tasks[[#This Row],[_IsLeaf]]=1,N(Tasks[[#This Row],[_Days]])=0))</f>
        <v>0</v>
      </c>
      <c r="GN127" s="89" t="n">
        <f aca="false">IF(Tasks[[#This Row],[Task Name]]="",0,IF(AND(Tasks[[#This Row],[_IsLeaf]]=1,NOT(Tasks[[#This Row],[_IsMilestone]]),N(Tasks[[#This Row],[Progress]])&gt;0),Tasks[[#This Row],[Start]],0))</f>
        <v>0</v>
      </c>
      <c r="GO127" s="89" t="n">
        <f aca="false">IF(Tasks[[#This Row],[_DoneFrom]]=0,0,IF(Tasks[[#This Row],[Progress]]&gt;=1,Tasks[[#This Row],[Finish]],MAX(Tasks[[#This Row],[_DoneFrom]],Tasks[[#This Row],[Start]]+ROUND((Tasks[[#This Row],[Finish]]-Tasks[[#This Row],[Start]]+1)*Tasks[[#This Row],[Progress]],0)-1)))</f>
        <v>0</v>
      </c>
      <c r="GP127" s="89" t="n">
        <f aca="false">IF(Tasks[[#This Row],[Task Name]]="",0,IF(OR(NOT(Tasks[[#This Row],[_IsLeaf]]=1),Tasks[[#This Row],[_IsMilestone]],N(Tasks[[#This Row],[Progress]])&gt;=1),0,IF(Tasks[[#This Row],[_DoneTo]]&gt;0,Tasks[[#This Row],[_DoneTo]]+1,Tasks[[#This Row],[Start]])))</f>
        <v>0</v>
      </c>
      <c r="GQ127" s="89" t="n">
        <f aca="false">IF(Tasks[[#This Row],[_RemFrom]]=0,0,Tasks[[#This Row],[Finish]])</f>
        <v>0</v>
      </c>
      <c r="GR127" s="88" t="b">
        <f aca="false">IF(Tasks[[#This Row],[Task Name]]="",FALSE(),OR(NOT(BaselineSet),N(Tasks[[#This Row],[Baseline Start]])&gt;0))</f>
        <v>0</v>
      </c>
      <c r="GS1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7" s="90" t="str">
        <f aca="false">IF(Tasks[[#This Row],[_IsLeaf]]=1,Tasks[[#This Row],[_Row]],"")</f>
        <v/>
      </c>
      <c r="GW127" s="90" t="str">
        <f aca="false">IFERROR(INDEX(Tasks[UID],SMALL(Tasks[_PickKey],Tasks[[#This Row],[_Row]]))&amp;" "&amp;INDEX(Tasks[Task Name],SMALL(Tasks[_PickKey],Tasks[[#This Row],[_Row]])),"")</f>
        <v/>
      </c>
      <c r="GX127" s="42" t="str">
        <f aca="false">IF(Tasks[[#This Row],[Task Name]]="","",IF(Tasks[[#This Row],[_IsSummary]],NETWORKDAYS.INTL(Tasks[[#This Row],[Start]],Tasks[[#This Row],[Finish]],WorkWeek,Holidays),N(Tasks[[#This Row],[_Days]])))</f>
        <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3"/>
      <c r="U128" s="23"/>
      <c r="V128" s="83"/>
      <c r="W128" s="23"/>
      <c r="X128" s="83"/>
      <c r="Y128" s="23"/>
      <c r="Z128" s="83"/>
      <c r="AA128" s="23"/>
      <c r="AB128" s="23"/>
      <c r="AC128" s="7"/>
      <c r="AD128" s="7"/>
      <c r="AE128" s="62" t="str">
        <f aca="false">IF(Tasks[[#This Row],[Task Name]]="","",IF(Tasks[[#This Row],[_IsSummary]],MIN(INDEX(Tasks[_ShownFcstStart],Tasks[[#This Row],[_Row]]+1):INDEX(Tasks[_ShownFcstStart],Tasks[[#This Row],[_Row]]+Tasks[[#This Row],[_Descendants]])),Tasks[[#This Row],[_ShownFcstStart]]))</f>
        <v/>
      </c>
      <c r="AF128" s="62"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8" s="7"/>
      <c r="AK128" s="22"/>
      <c r="AL128" s="23"/>
      <c r="AM128" s="7"/>
      <c r="AN128" s="46"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2" t="str">
        <f aca="false">IF(Tasks[[#This Row],[Task Name]]="","",IF(N(Tasks[[#This Row],[Baseline Start]])&gt;0,Tasks[[#This Row],[Baseline Start]],Tasks[[#This Row],[_CalcStart]]))</f>
        <v/>
      </c>
      <c r="AR128" s="62" t="str">
        <f aca="false">IF(Tasks[[#This Row],[Task Name]]="","",IF(N(Tasks[[#This Row],[Baseline Finish]])&gt;0,Tasks[[#This Row],[Baseline Finish]],Tasks[[#This Row],[_CalcFinish]]))</f>
        <v/>
      </c>
      <c r="AS128" s="46" t="str">
        <f aca="false">IF(Tasks[[#This Row],[Task Name]]="","",IF(Tasks[[#This Row],[Start]]&gt;=Tasks[[#This Row],[Planned Start]],NETWORKDAYS.INTL(Tasks[[#This Row],[Planned Start]],Tasks[[#This Row],[Start]],WorkWeek,Holidays)-1,1-NETWORKDAYS.INTL(Tasks[[#This Row],[Start]],Tasks[[#This Row],[Planned Start]],WorkWeek,Holidays)))</f>
        <v/>
      </c>
      <c r="AT128" s="62" t="str">
        <f aca="false">IF(Tasks[[#This Row],[Task Name]]="","",IF(Tasks[[#This Row],[_IsSummary]],MIN(INDEX(Tasks[_LeafLateStart],Tasks[[#This Row],[_Row]]+1):INDEX(Tasks[_LeafLateStart],Tasks[[#This Row],[_Row]]+Tasks[[#This Row],[_Descendants]])),Tasks[[#This Row],[_LeafLateStart]]))</f>
        <v/>
      </c>
      <c r="AU128" s="62" t="str">
        <f aca="false">IF(Tasks[[#This Row],[Task Name]]="","",IF(Tasks[[#This Row],[_IsSummary]],MAX(INDEX(Tasks[_LeafLateFinish],Tasks[[#This Row],[_Row]]+1):INDEX(Tasks[_LeafLateFinish],Tasks[[#This Row],[_Row]]+Tasks[[#This Row],[_Descendants]])),Tasks[[#This Row],[_LeafLateFinish]]))</f>
        <v/>
      </c>
      <c r="AV128" s="46"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4"/>
      <c r="BA1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5"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6"/>
      <c r="BJ128" s="22"/>
      <c r="BK128" s="46" t="str">
        <f aca="false">IF(OR(Tasks[[#This Row],[Task Name]]="",Tasks[[#This Row],[Baseline Duration]]=""),"",Tasks[[#This Row],[_SpanDays]]-N(Tasks[[#This Row],[Baseline Duration]]))</f>
        <v/>
      </c>
      <c r="BL128" s="85" t="str">
        <f aca="false">IF(OR(Tasks[[#This Row],[Task Name]]="",Tasks[[#This Row],[Baseline Work]]=""),"",Tasks[[#This Row],[Work]]-N(Tasks[[#This Row],[Baseline Work]]))</f>
        <v/>
      </c>
      <c r="BM128" s="62" t="str">
        <f aca="false">IF(Tasks[[#This Row],[Task Name]]="","",IF(OR(TakeBaseline="Yes",N(Tasks[[#This Row],[Baseline Start]])=0),Tasks[[#This Row],[Start]],Tasks[[#This Row],[Baseline Start]]))</f>
        <v/>
      </c>
      <c r="BN128" s="62"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5" t="str">
        <f aca="false">IF(Tasks[[#This Row],[Task Name]]="","",IF(OR(TakeBaseline="Yes",N(Tasks[[#This Row],[Baseline Work]])=0),Tasks[[#This Row],[Work]],Tasks[[#This Row],[Baseline Work]]))</f>
        <v/>
      </c>
      <c r="BQ128" s="7"/>
      <c r="BR128" s="7"/>
      <c r="BS128" s="22"/>
      <c r="BT128" s="87"/>
      <c r="BU128" s="42" t="str">
        <f aca="false">IF(Tasks[[#This Row],[Task Name]]="","",MAX(1,N(Tasks[[#This Row],[Level]])))</f>
        <v/>
      </c>
      <c r="BV128" s="42" t="n">
        <f aca="false">ROW()-ROW(Tasks[[#Headers],[ID]])</f>
        <v>123</v>
      </c>
      <c r="BW128" s="42" t="n">
        <f aca="false">IF(OR(Tasks[[#This Row],[Task Name]]="",Tasks[[#This Row],[_Level]]&lt;=1),0,IFERROR(LOOKUP(2,1/(Tasks[[#Headers],[_Level]]:Tasks[[#This Row],[_Level]]=Tasks[[#This Row],[_Level]]-1),ROW(Tasks[[#Headers],[_Level]]:Tasks[[#This Row],[_Level]])),0))</f>
        <v>0</v>
      </c>
      <c r="BX128" s="42" t="n">
        <f aca="false">IFERROR(N(INDEX(Tasks[_Level],Tasks[[#This Row],[_Row]]+1)),0)</f>
        <v>0</v>
      </c>
      <c r="BY128" s="88" t="b">
        <f aca="false">AND(Tasks[[#This Row],[Task Name]]&lt;&gt;"",Tasks[[#This Row],[_NextLevel]]&gt;Tasks[[#This Row],[_Level]])</f>
        <v>0</v>
      </c>
      <c r="BZ128" s="42" t="n">
        <f aca="false">IF(Tasks[[#This Row],[_IsSummary]],COUNTIF(Tasks[WBS],Tasks[[#This Row],[WBS]]&amp;".*"),0)</f>
        <v>0</v>
      </c>
      <c r="CA128" s="42" t="n">
        <f aca="false">IF(AND(Tasks[[#This Row],[Task Name]]&lt;&gt;"",NOT(Tasks[[#This Row],[_IsSummary]])),1,0)</f>
        <v>0</v>
      </c>
      <c r="CB128" s="42" t="n">
        <f aca="false">IF(N(Tasks[[#This Row],[_Pred1UID]])=0,0,IFERROR(MATCH(Tasks[[#This Row],[_Pred1UID]],Tasks[UID],0),-1))</f>
        <v>0</v>
      </c>
      <c r="CC128" s="42" t="n">
        <f aca="false">IF(N(Tasks[[#This Row],[_Pred2UID]])=0,0,IFERROR(MATCH(Tasks[[#This Row],[_Pred2UID]],Tasks[UID],0),-1))</f>
        <v>0</v>
      </c>
      <c r="CD128" s="42" t="n">
        <f aca="false">IF(N(Tasks[[#This Row],[_Pred3UID]])=0,0,IFERROR(MATCH(Tasks[[#This Row],[_Pred3UID]],Tasks[UID],0),-1))</f>
        <v>0</v>
      </c>
      <c r="CE128" s="42" t="n">
        <f aca="false">IF(N(Tasks[[#This Row],[_Pred4UID]])=0,0,IFERROR(MATCH(Tasks[[#This Row],[_Pred4UID]],Tasks[UID],0),-1))</f>
        <v>0</v>
      </c>
      <c r="CF1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8" s="89" t="n">
        <f aca="false">IF(OR(Tasks[[#This Row],[_ConstraintCode]]=2,Tasks[[#This Row],[_ConstraintCode]]=3,Tasks[[#This Row],[_ConstraintCode]]=4,Tasks[[#This Row],[_ConstraintCode]]=6),Tasks[[#This Row],[_ConstraintStart]],0)</f>
        <v>0</v>
      </c>
      <c r="CI128" s="89" t="n">
        <f aca="false">IF(OR(Tasks[[#This Row],[_ConstraintCode]]=2,Tasks[[#This Row],[_ConstraintCode]]=3,Tasks[[#This Row],[_ConstraintCode]]=5,Tasks[[#This Row],[_ConstraintCode]]=7),Tasks[[#This Row],[_ConstraintStart]],2958465)</f>
        <v>2958465</v>
      </c>
      <c r="CJ1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8" s="89" t="str">
        <f aca="false">IF(NOT(Tasks[[#This Row],[_IsLeaf]]=1),"",IF(N(Tasks[[#This Row],[_Days]])&lt;=0,Tasks[[#This Row],[_LeafCalcStart]],WORKDAY.INTL(Tasks[[#This Row],[_LeafCalcStart]],Tasks[[#This Row],[_Days]]-1,WorkWeek,Holidays)))</f>
        <v/>
      </c>
      <c r="CL1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8" s="42" t="str">
        <f aca="false">IF(Tasks[[#This Row],[_Predecessors]]="","",TRIM(MID(SUBSTITUTE(SUBSTITUTE(SUBSTITUTE(UPPER(Tasks[[#This Row],[_Predecessors]]),";",",")," ",""),",",REPT(" ",99)),1,99)))</f>
        <v/>
      </c>
      <c r="CO128" s="42" t="str">
        <f aca="false">IF(Tasks[[#This Row],[_Pred1Text]]="","",IFERROR(VALUE(LEFT(Tasks[[#This Row],[_Pred1Text]],MIN(FIND("F",Tasks[[#This Row],[_Pred1Text]]&amp;"F"),FIND("S",Tasks[[#This Row],[_Pred1Text]]&amp;"S"),FIND("+",Tasks[[#This Row],[_Pred1Text]]&amp;"+"),FIND("-",Tasks[[#This Row],[_Pred1Text]]&amp;"-"))-1)),""))</f>
        <v/>
      </c>
      <c r="CP1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8" s="42" t="str">
        <f aca="false">IF(Tasks[[#This Row],[_Pred1Text]]="","",TRIM(MID(SUBSTITUTE(SUBSTITUTE(SUBSTITUTE(UPPER(Tasks[[#This Row],[_Predecessors]]),";",",")," ",""),",",REPT(" ",99)),100,99)))</f>
        <v/>
      </c>
      <c r="CS128" s="42" t="str">
        <f aca="false">IF(Tasks[[#This Row],[_Pred2Text]]="","",IFERROR(VALUE(LEFT(Tasks[[#This Row],[_Pred2Text]],MIN(FIND("F",Tasks[[#This Row],[_Pred2Text]]&amp;"F"),FIND("S",Tasks[[#This Row],[_Pred2Text]]&amp;"S"),FIND("+",Tasks[[#This Row],[_Pred2Text]]&amp;"+"),FIND("-",Tasks[[#This Row],[_Pred2Text]]&amp;"-"))-1)),""))</f>
        <v/>
      </c>
      <c r="CT1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8" s="42" t="str">
        <f aca="false">IF(Tasks[[#This Row],[_Pred2Text]]="","",TRIM(MID(SUBSTITUTE(SUBSTITUTE(SUBSTITUTE(UPPER(Tasks[[#This Row],[_Predecessors]]),";",",")," ",""),",",REPT(" ",99)),199,99)))</f>
        <v/>
      </c>
      <c r="CW128" s="42" t="str">
        <f aca="false">IF(Tasks[[#This Row],[_Pred3Text]]="","",IFERROR(VALUE(LEFT(Tasks[[#This Row],[_Pred3Text]],MIN(FIND("F",Tasks[[#This Row],[_Pred3Text]]&amp;"F"),FIND("S",Tasks[[#This Row],[_Pred3Text]]&amp;"S"),FIND("+",Tasks[[#This Row],[_Pred3Text]]&amp;"+"),FIND("-",Tasks[[#This Row],[_Pred3Text]]&amp;"-"))-1)),""))</f>
        <v/>
      </c>
      <c r="CX1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8" s="42" t="str">
        <f aca="false">IF(Tasks[[#This Row],[_Pred3Text]]="","",TRIM(MID(SUBSTITUTE(SUBSTITUTE(SUBSTITUTE(UPPER(Tasks[[#This Row],[_Predecessors]]),";",",")," ",""),",",REPT(" ",99)),298,99)))</f>
        <v/>
      </c>
      <c r="DA128" s="42" t="str">
        <f aca="false">IF(Tasks[[#This Row],[_Pred4Text]]="","",IFERROR(VALUE(LEFT(Tasks[[#This Row],[_Pred4Text]],MIN(FIND("F",Tasks[[#This Row],[_Pred4Text]]&amp;"F"),FIND("S",Tasks[[#This Row],[_Pred4Text]]&amp;"S"),FIND("+",Tasks[[#This Row],[_Pred4Text]]&amp;"+"),FIND("-",Tasks[[#This Row],[_Pred4Text]]&amp;"-"))-1)),""))</f>
        <v/>
      </c>
      <c r="DB1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8" s="42" t="str">
        <f aca="false">IF(OR(Tasks[[#This Row],[Task Name]]="",Tasks[[#This Row],[_Resources]]=""),"",TRIM(MID(SUBSTITUTE(Tasks[[#This Row],[_Resources]],",",REPT(" ",99)),1,99)))</f>
        <v/>
      </c>
      <c r="DE128" s="42" t="str">
        <f aca="false">IF(Tasks[[#This Row],[_Res1Text]]="","",TRIM(MID(SUBSTITUTE(Tasks[[#This Row],[_Resources]],",",REPT(" ",99)),100,99)))</f>
        <v/>
      </c>
      <c r="DF128" s="42" t="str">
        <f aca="false">IF(Tasks[[#This Row],[_Res2Text]]="","",TRIM(MID(SUBSTITUTE(Tasks[[#This Row],[_Resources]],",",REPT(" ",99)),199,99)))</f>
        <v/>
      </c>
      <c r="DG128" s="42" t="str">
        <f aca="false">IF(Tasks[[#This Row],[_Res3Text]]="","",TRIM(MID(SUBSTITUTE(Tasks[[#This Row],[_Resources]],",",REPT(" ",99)),298,99)))</f>
        <v/>
      </c>
      <c r="DH128" s="42" t="n">
        <f aca="false">IF(Tasks[[#This Row],[_Res1Text]]="",0,IFERROR(MATCH(TRIM(LEFT(Tasks[[#This Row],[_Res1Text]],FIND("[",Tasks[[#This Row],[_Res1Text]]&amp;"[")-1)),res_Name,0),IFERROR(MATCH(TRIM(LEFT(Tasks[[#This Row],[_Res1Text]],FIND("[",Tasks[[#This Row],[_Res1Text]]&amp;"[")-1)),res_Initials,0),0)))</f>
        <v>0</v>
      </c>
      <c r="DI128" s="42" t="n">
        <f aca="false">IF(Tasks[[#This Row],[_Res2Text]]="",0,IFERROR(MATCH(TRIM(LEFT(Tasks[[#This Row],[_Res2Text]],FIND("[",Tasks[[#This Row],[_Res2Text]]&amp;"[")-1)),res_Name,0),IFERROR(MATCH(TRIM(LEFT(Tasks[[#This Row],[_Res2Text]],FIND("[",Tasks[[#This Row],[_Res2Text]]&amp;"[")-1)),res_Initials,0),0)))</f>
        <v>0</v>
      </c>
      <c r="DJ128" s="42" t="n">
        <f aca="false">IF(Tasks[[#This Row],[_Res3Text]]="",0,IFERROR(MATCH(TRIM(LEFT(Tasks[[#This Row],[_Res3Text]],FIND("[",Tasks[[#This Row],[_Res3Text]]&amp;"[")-1)),res_Name,0),IFERROR(MATCH(TRIM(LEFT(Tasks[[#This Row],[_Res3Text]],FIND("[",Tasks[[#This Row],[_Res3Text]]&amp;"[")-1)),res_Initials,0),0)))</f>
        <v>0</v>
      </c>
      <c r="DK128" s="42" t="n">
        <f aca="false">IF(Tasks[[#This Row],[_Res4Text]]="",0,IFERROR(MATCH(TRIM(LEFT(Tasks[[#This Row],[_Res4Text]],FIND("[",Tasks[[#This Row],[_Res4Text]]&amp;"[")-1)),res_Name,0),IFERROR(MATCH(TRIM(LEFT(Tasks[[#This Row],[_Res4Text]],FIND("[",Tasks[[#This Row],[_Res4Text]]&amp;"[")-1)),res_Initials,0),0)))</f>
        <v>0</v>
      </c>
      <c r="DL128" s="42" t="str">
        <f aca="false">IF(Tasks[[#This Row],[_Res1Text]]="","",IF(Tasks[[#This Row],[_Res1Row]]&gt;0,INDEX(res_Name,Tasks[[#This Row],[_Res1Row]]),TRIM(LEFT(Tasks[[#This Row],[_Res1Text]],FIND("[",Tasks[[#This Row],[_Res1Text]]&amp;"[")-1))))</f>
        <v/>
      </c>
      <c r="DM1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8" s="42" t="n">
        <f aca="false">IF(NOT(Tasks[[#This Row],[_IsLeaf]]=1),0,(Tasks[[#This Row],[_Resource1]]&lt;&gt;"")+(Tasks[[#This Row],[_Res2]]&lt;&gt;"")+(Tasks[[#This Row],[_Res3]]&lt;&gt;"")+(Tasks[[#This Row],[_Res4]]&lt;&gt;""))</f>
        <v>0</v>
      </c>
      <c r="DO128" s="42" t="str">
        <f aca="false">IF(Tasks[[#This Row],[_Res2Text]]="","",IF(Tasks[[#This Row],[_Res2Row]]&gt;0,INDEX(res_Name,Tasks[[#This Row],[_Res2Row]]),TRIM(LEFT(Tasks[[#This Row],[_Res2Text]],FIND("[",Tasks[[#This Row],[_Res2Text]]&amp;"[")-1))))</f>
        <v/>
      </c>
      <c r="DP1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8" s="42" t="n">
        <f aca="false">IF(OR(NOT(Tasks[[#This Row],[_IsLeaf]]=1),Tasks[[#This Row],[_Res2Row]]=0),0,N(Tasks[[#This Row],[_Days]])*HoursPerDay*IF(Tasks[[#This Row],[_Res2Units]]="",DefaultUnits,Tasks[[#This Row],[_Res2Units]]))</f>
        <v>0</v>
      </c>
      <c r="DR128" s="42" t="n">
        <f aca="false">IF(AND(AND(Tasks[[#This Row],[_IsLeaf]]=1,Tasks[[#This Row],[_LeafTotalWork]]&gt;0),Tasks[[#This Row],[_Res2Work]]&gt;0),Tasks[[#This Row],[_Res2Work]]/(Tasks[[#This Row],[_FinishWorkday]]-Tasks[[#This Row],[_StartWorkday]]+1),0)</f>
        <v>0</v>
      </c>
      <c r="DS128" s="42" t="n">
        <f aca="false">Tasks[[#This Row],[_Res2WorkPerWD]]*MAX(0,Tasks[[#This Row],[_StartWorkday]]-1)</f>
        <v>0</v>
      </c>
      <c r="DT128" s="42" t="n">
        <f aca="false">Tasks[[#This Row],[_Res2Work]]*Tasks[[#This Row],[_LeafProgress]]</f>
        <v>0</v>
      </c>
      <c r="DU128" s="42" t="str">
        <f aca="false">IF(Tasks[[#This Row],[_Res3Text]]="","",IF(Tasks[[#This Row],[_Res3Row]]&gt;0,INDEX(res_Name,Tasks[[#This Row],[_Res3Row]]),TRIM(LEFT(Tasks[[#This Row],[_Res3Text]],FIND("[",Tasks[[#This Row],[_Res3Text]]&amp;"[")-1))))</f>
        <v/>
      </c>
      <c r="DV1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8" s="42" t="n">
        <f aca="false">IF(OR(NOT(Tasks[[#This Row],[_IsLeaf]]=1),Tasks[[#This Row],[_Res3Row]]=0),0,N(Tasks[[#This Row],[_Days]])*HoursPerDay*IF(Tasks[[#This Row],[_Res3Units]]="",DefaultUnits,Tasks[[#This Row],[_Res3Units]]))</f>
        <v>0</v>
      </c>
      <c r="DX128" s="42" t="n">
        <f aca="false">IF(AND(AND(Tasks[[#This Row],[_IsLeaf]]=1,Tasks[[#This Row],[_LeafTotalWork]]&gt;0),Tasks[[#This Row],[_Res3Work]]&gt;0),Tasks[[#This Row],[_Res3Work]]/(Tasks[[#This Row],[_FinishWorkday]]-Tasks[[#This Row],[_StartWorkday]]+1),0)</f>
        <v>0</v>
      </c>
      <c r="DY128" s="42" t="n">
        <f aca="false">Tasks[[#This Row],[_Res3WorkPerWD]]*MAX(0,Tasks[[#This Row],[_StartWorkday]]-1)</f>
        <v>0</v>
      </c>
      <c r="DZ128" s="42" t="n">
        <f aca="false">Tasks[[#This Row],[_Res3Work]]*Tasks[[#This Row],[_LeafProgress]]</f>
        <v>0</v>
      </c>
      <c r="EA128" s="42" t="str">
        <f aca="false">IF(Tasks[[#This Row],[_Res4Text]]="","",IF(Tasks[[#This Row],[_Res4Row]]&gt;0,INDEX(res_Name,Tasks[[#This Row],[_Res4Row]]),TRIM(LEFT(Tasks[[#This Row],[_Res4Text]],FIND("[",Tasks[[#This Row],[_Res4Text]]&amp;"[")-1))))</f>
        <v/>
      </c>
      <c r="EB1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8" s="42" t="n">
        <f aca="false">IF(OR(NOT(Tasks[[#This Row],[_IsLeaf]]=1),Tasks[[#This Row],[_Res4Row]]=0),0,N(Tasks[[#This Row],[_Days]])*HoursPerDay*IF(Tasks[[#This Row],[_Res4Units]]="",DefaultUnits,Tasks[[#This Row],[_Res4Units]]))</f>
        <v>0</v>
      </c>
      <c r="ED128" s="42" t="n">
        <f aca="false">IF(AND(AND(Tasks[[#This Row],[_IsLeaf]]=1,Tasks[[#This Row],[_LeafTotalWork]]&gt;0),Tasks[[#This Row],[_Res4Work]]&gt;0),Tasks[[#This Row],[_Res4Work]]/(Tasks[[#This Row],[_FinishWorkday]]-Tasks[[#This Row],[_StartWorkday]]+1),0)</f>
        <v>0</v>
      </c>
      <c r="EE128" s="42" t="n">
        <f aca="false">Tasks[[#This Row],[_Res4WorkPerWD]]*MAX(0,Tasks[[#This Row],[_StartWorkday]]-1)</f>
        <v>0</v>
      </c>
      <c r="EF128" s="42" t="n">
        <f aca="false">Tasks[[#This Row],[_Res4Work]]*Tasks[[#This Row],[_LeafProgress]]</f>
        <v>0</v>
      </c>
      <c r="EG128" s="42" t="n">
        <f aca="false">IF(ISNUMBER(Tasks[[#This Row],[% Complete]]),Tasks[[#This Row],[% Complete]],IF(Tasks[[#This Row],[Stage]]="",0,IFERROR(INDEX(stg_Pct,MATCH(Tasks[[#This Row],[Stage]],stg_Name,0)),0)))</f>
        <v>0</v>
      </c>
      <c r="EH128" s="42" t="n">
        <f aca="false">IF(NOT(Tasks[[#This Row],[_IsLeaf]]=1),0,IF(N(Tasks[[#This Row],[Actual Finish]])&gt;0,1,MIN(1,Tasks[[#This Row],[_Pct]])))</f>
        <v>0</v>
      </c>
      <c r="EI128" s="42" t="n">
        <f aca="false">IF(OR(NOT(Tasks[[#This Row],[_IsLeaf]]=1),Tasks[[#This Row],[_Res1Row]]=0),0,N(Tasks[[#This Row],[_Days]])*HoursPerDay*IF(Tasks[[#This Row],[_Units1]]="",DefaultUnits,Tasks[[#This Row],[_Units1]]))</f>
        <v>0</v>
      </c>
      <c r="EJ128" s="42" t="n">
        <f aca="false">Tasks[[#This Row],[_LeafWork]]+Tasks[[#This Row],[_Res2Work]]+Tasks[[#This Row],[_Res3Work]]+Tasks[[#This Row],[_Res4Work]]</f>
        <v>0</v>
      </c>
      <c r="EK1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8" s="42" t="n">
        <f aca="false">IF(NOT(Tasks[[#This Row],[_IsLeaf]]=1),0,MAX(_xlfn.MAXIFS(Tasks[_Row],Tasks[_Pred1UID],Tasks[[#This Row],[UID]]),_xlfn.MAXIFS(Tasks[_Row],Tasks[_Pred2UID],Tasks[[#This Row],[UID]]),_xlfn.MAXIFS(Tasks[_Row],Tasks[_Pred3UID],Tasks[[#This Row],[UID]]),_xlfn.MAXIFS(Tasks[_Row],Tasks[_Pred4UID],Tasks[[#This Row],[UID]])))</f>
        <v>0</v>
      </c>
      <c r="ET1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8" s="89" t="str">
        <f aca="false">IF(NOT(Tasks[[#This Row],[_IsLeaf]]=1),"",IF(N(Tasks[[#This Row],[_Days]])&lt;=0,Tasks[[#This Row],[_LeafLateFinish]],WORKDAY.INTL(Tasks[[#This Row],[_LeafLateFinish]],-(Tasks[[#This Row],[_Days]]-1),WorkWeek,Holidays)))</f>
        <v/>
      </c>
      <c r="EW1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8" s="88" t="b">
        <f aca="false">AND(Tasks[[#This Row],[_IsLeaf]]=1,Tasks[[#This Row],[_LeafProgress]]&lt;1,N(Tasks[[#This Row],[_LeafTotalSlack]])&lt;=CriticalSlackDays)</f>
        <v>0</v>
      </c>
      <c r="EY128" s="42" t="n">
        <f aca="false">IF(AND(Tasks[[#This Row],[_IsLeaf]]=1,Tasks[[#This Row],[_ConstraintCode]]=1,Tasks[[#This Row],[Mode]]&lt;&gt;"Manual",N(Tasks[[#This Row],[Actual Start]])=0),MAX(0,N(Tasks[[#This Row],[Free Slack]])),0)</f>
        <v>0</v>
      </c>
      <c r="EZ128" s="89" t="str">
        <f aca="false">IF(NOT(Tasks[[#This Row],[_IsLeaf]]=1),"",IF(Tasks[[#This Row],[_AlapShift]]=0,Tasks[[#This Row],[_LeafCalcStart]],WORKDAY.INTL(Tasks[[#This Row],[_LeafCalcStart]],Tasks[[#This Row],[_AlapShift]],WorkWeek,Holidays)))</f>
        <v/>
      </c>
      <c r="FA128" s="89" t="str">
        <f aca="false">IF(NOT(Tasks[[#This Row],[_IsLeaf]]=1),"",IF(Tasks[[#This Row],[_AlapShift]]=0,Tasks[[#This Row],[_LeafCalcFinish]],WORKDAY.INTL(Tasks[[#This Row],[_LeafCalcFinish]],Tasks[[#This Row],[_AlapShift]],WorkWeek,Holidays)))</f>
        <v/>
      </c>
      <c r="FB128" s="89" t="str">
        <f aca="false">IF(NOT(Tasks[[#This Row],[_IsLeaf]]=1),"",IF(Tasks[[#This Row],[_AlapShift]]=0,Tasks[[#This Row],[_LeafFcstStart]],WORKDAY.INTL(Tasks[[#This Row],[_LeafFcstStart]],Tasks[[#This Row],[_AlapShift]],WorkWeek,Holidays)))</f>
        <v/>
      </c>
      <c r="FC128" s="89" t="str">
        <f aca="false">IF(NOT(Tasks[[#This Row],[_IsLeaf]]=1),"",IF(Tasks[[#This Row],[_AlapShift]]=0,Tasks[[#This Row],[_LeafFcstFinish]],WORKDAY.INTL(Tasks[[#This Row],[_LeafFcstFinish]],Tasks[[#This Row],[_AlapShift]],WorkWeek,Holidays)))</f>
        <v/>
      </c>
      <c r="FD128" s="89" t="str">
        <f aca="false">IF(Tasks[[#This Row],[Task Name]]="","",IF(Tasks[[#This Row],[_IsSummary]],MIN(INDEX(Tasks[_ShownCalcStart],Tasks[[#This Row],[_Row]]+1):INDEX(Tasks[_ShownCalcStart],Tasks[[#This Row],[_Row]]+Tasks[[#This Row],[_Descendants]])),Tasks[[#This Row],[_ShownCalcStart]]))</f>
        <v/>
      </c>
      <c r="FE128" s="89" t="str">
        <f aca="false">IF(Tasks[[#This Row],[Task Name]]="","",IF(Tasks[[#This Row],[_IsSummary]],MAX(INDEX(Tasks[_ShownCalcFinish],Tasks[[#This Row],[_Row]]+1):INDEX(Tasks[_ShownCalcFinish],Tasks[[#This Row],[_Row]]+Tasks[[#This Row],[_Descendants]])),Tasks[[#This Row],[_ShownCalcFinish]]))</f>
        <v/>
      </c>
      <c r="FF1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8" s="42" t="n">
        <f aca="false">IF(AND(Tasks[[#This Row],[_IsLeaf]]=1,Tasks[[#This Row],[_LeafTotalWork]]&gt;0),NETWORKDAYS.INTL(ProjectStart,Tasks[[#This Row],[_ShownFcstStart]],WorkWeek,Holidays),0)</f>
        <v>0</v>
      </c>
      <c r="FS128" s="42" t="n">
        <f aca="false">IF(AND(Tasks[[#This Row],[_IsLeaf]]=1,Tasks[[#This Row],[_LeafTotalWork]]&gt;0),MAX(Tasks[[#This Row],[_StartWorkday]],NETWORKDAYS.INTL(ProjectStart,Tasks[[#This Row],[_ShownFcstFinish]],WorkWeek,Holidays)),0)</f>
        <v>0</v>
      </c>
      <c r="FT128" s="42" t="n">
        <f aca="false">IF(AND(Tasks[[#This Row],[_IsLeaf]]=1,Tasks[[#This Row],[_LeafTotalWork]]&gt;0),Tasks[[#This Row],[_LeafWork]]/(Tasks[[#This Row],[_FinishWorkday]]-Tasks[[#This Row],[_StartWorkday]]+1),0)</f>
        <v>0</v>
      </c>
      <c r="FU128" s="42" t="n">
        <f aca="false">Tasks[[#This Row],[_WorkPerWorkday]]*(Tasks[[#This Row],[_StartWorkday]]-1)</f>
        <v>-0</v>
      </c>
      <c r="FV128" s="42" t="n">
        <f aca="false">IF(Tasks[[#This Row],[_IsLeaf]]=1,MAX(N(Tasks[[#This Row],[_Days]]),0.1),0)</f>
        <v>0</v>
      </c>
      <c r="FW128" s="42" t="n">
        <f aca="false">Tasks[[#This Row],[_WeightDur]]*Tasks[[#This Row],[_LeafProgress]]</f>
        <v>0</v>
      </c>
      <c r="FX128" s="42" t="n">
        <f aca="false">Tasks[[#This Row],[_WeightDur]]*Tasks[[#This Row],[_PlannedPct]]</f>
        <v>0</v>
      </c>
      <c r="FY1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8" s="42" t="str">
        <f aca="false">IF(AND(Tasks[[#This Row],[_IsLeaf]]=1,N(Tasks[[#This Row],[_Days]])=0,Tasks[[#This Row],[_LeafProgress]]&lt;1),Tasks[[#This Row],[_ShownFcstFinish]]+Tasks[[#This Row],[_Row]]/100000,"")</f>
        <v/>
      </c>
      <c r="GA1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8" s="42" t="str">
        <f aca="false">IF(Tasks[[#This Row],[Task Name]]="","",LEFT(Tasks[[#This Row],[WBS]],FIND(".",Tasks[[#This Row],[WBS]]&amp;".")-1))</f>
        <v/>
      </c>
      <c r="GC128" s="42" t="str">
        <f aca="false">IF(AND(Tasks[[#This Row],[Task Name]]&lt;&gt;"",Tasks[[#This Row],[_Level]]=1),Tasks[[#This Row],[_Row]],"")</f>
        <v/>
      </c>
      <c r="GD128" s="42" t="str">
        <f aca="false">IF(AND(Tasks[[#This Row],[_IsLeaf]]=1,N(Tasks[[#This Row],[_Days]])=0),Tasks[[#This Row],[Planned Finish]]+Tasks[[#This Row],[_Row]]/100000,"")</f>
        <v/>
      </c>
      <c r="GE128" s="42" t="str">
        <f aca="false">IF(AND(Tasks[[#This Row],[_IsLeaf]]=1,Tasks[[#This Row],[_LeafProgress]]&lt;1,OR(N(Tasks[[#This Row],[Finish Var]])&gt;0,Tasks[[#This Row],[Status]]="Late Start")),MAX(0,Tasks[[#This Row],[Finish Var]])+1-Tasks[[#This Row],[_Row]]/1000000,"")</f>
        <v/>
      </c>
      <c r="GF128" s="42" t="str">
        <f aca="false">IF(AND(Tasks[[#This Row],[_IsLeaf]]=1,N(Tasks[[#This Row],[Actual Start]])=0,Tasks[[#This Row],[_ShownFcstStart]]&gt;=StatusDate,Tasks[[#This Row],[_ShownFcstStart]]&lt;=LookaheadEnd),Tasks[[#This Row],[_ShownFcstStart]]+Tasks[[#This Row],[_Row]]/100000,"")</f>
        <v/>
      </c>
      <c r="GG128" s="42" t="str">
        <f aca="false">IF(AND(Tasks[[#This Row],[_IsLeaf]]=1,Tasks[[#This Row],[_LeafProgress]]&lt;1,Tasks[[#This Row],[_ShownFcstFinish]]&gt;=StatusDate,Tasks[[#This Row],[_ShownFcstFinish]]&lt;=LookaheadEnd),Tasks[[#This Row],[_ShownFcstFinish]]+Tasks[[#This Row],[_Row]]/100000,"")</f>
        <v/>
      </c>
      <c r="GH128" s="42" t="str">
        <f aca="false">IF(Tasks[[#This Row],[_LeafCritical]],Tasks[[#This Row],[_ShownFcstStart]]+Tasks[[#This Row],[_Row]]/100000,"")</f>
        <v/>
      </c>
      <c r="GI128" s="42" t="n">
        <f aca="false">Tasks[[#This Row],[_LeafWork]]*Tasks[[#This Row],[_LeafProgress]]</f>
        <v>0</v>
      </c>
      <c r="GJ128" s="89" t="str">
        <f aca="false">IF(AND(Tasks[[#This Row],[_IsLeaf]]=1,Tasks[[#This Row],[_LeafProgress]]&gt;=1),IF(N(Tasks[[#This Row],[Actual Finish]])&gt;0,Tasks[[#This Row],[Actual Finish]],Tasks[[#This Row],[_ShownFcstFinish]]),"")</f>
        <v/>
      </c>
      <c r="GK128" s="42" t="n">
        <f aca="false">IF(Tasks[[#This Row],[_IsLeaf]]=1,N(Tasks[[#This Row],[Story Points]]),0)</f>
        <v>0</v>
      </c>
      <c r="GL128" s="42" t="str">
        <f aca="false">""</f>
        <v/>
      </c>
      <c r="GM128" s="88" t="b">
        <f aca="false">IF(Tasks[[#This Row],[Task Name]]="",FALSE(),AND(Tasks[[#This Row],[_IsLeaf]]=1,N(Tasks[[#This Row],[_Days]])=0))</f>
        <v>0</v>
      </c>
      <c r="GN128" s="89" t="n">
        <f aca="false">IF(Tasks[[#This Row],[Task Name]]="",0,IF(AND(Tasks[[#This Row],[_IsLeaf]]=1,NOT(Tasks[[#This Row],[_IsMilestone]]),N(Tasks[[#This Row],[Progress]])&gt;0),Tasks[[#This Row],[Start]],0))</f>
        <v>0</v>
      </c>
      <c r="GO128" s="89" t="n">
        <f aca="false">IF(Tasks[[#This Row],[_DoneFrom]]=0,0,IF(Tasks[[#This Row],[Progress]]&gt;=1,Tasks[[#This Row],[Finish]],MAX(Tasks[[#This Row],[_DoneFrom]],Tasks[[#This Row],[Start]]+ROUND((Tasks[[#This Row],[Finish]]-Tasks[[#This Row],[Start]]+1)*Tasks[[#This Row],[Progress]],0)-1)))</f>
        <v>0</v>
      </c>
      <c r="GP128" s="89" t="n">
        <f aca="false">IF(Tasks[[#This Row],[Task Name]]="",0,IF(OR(NOT(Tasks[[#This Row],[_IsLeaf]]=1),Tasks[[#This Row],[_IsMilestone]],N(Tasks[[#This Row],[Progress]])&gt;=1),0,IF(Tasks[[#This Row],[_DoneTo]]&gt;0,Tasks[[#This Row],[_DoneTo]]+1,Tasks[[#This Row],[Start]])))</f>
        <v>0</v>
      </c>
      <c r="GQ128" s="89" t="n">
        <f aca="false">IF(Tasks[[#This Row],[_RemFrom]]=0,0,Tasks[[#This Row],[Finish]])</f>
        <v>0</v>
      </c>
      <c r="GR128" s="88" t="b">
        <f aca="false">IF(Tasks[[#This Row],[Task Name]]="",FALSE(),OR(NOT(BaselineSet),N(Tasks[[#This Row],[Baseline Start]])&gt;0))</f>
        <v>0</v>
      </c>
      <c r="GS1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8" s="90" t="str">
        <f aca="false">IF(Tasks[[#This Row],[_IsLeaf]]=1,Tasks[[#This Row],[_Row]],"")</f>
        <v/>
      </c>
      <c r="GW128" s="90" t="str">
        <f aca="false">IFERROR(INDEX(Tasks[UID],SMALL(Tasks[_PickKey],Tasks[[#This Row],[_Row]]))&amp;" "&amp;INDEX(Tasks[Task Name],SMALL(Tasks[_PickKey],Tasks[[#This Row],[_Row]])),"")</f>
        <v/>
      </c>
      <c r="GX128" s="42" t="str">
        <f aca="false">IF(Tasks[[#This Row],[Task Name]]="","",IF(Tasks[[#This Row],[_IsSummary]],NETWORKDAYS.INTL(Tasks[[#This Row],[Start]],Tasks[[#This Row],[Finish]],WorkWeek,Holidays),N(Tasks[[#This Row],[_Days]])))</f>
        <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3"/>
      <c r="U129" s="23"/>
      <c r="V129" s="83"/>
      <c r="W129" s="23"/>
      <c r="X129" s="83"/>
      <c r="Y129" s="23"/>
      <c r="Z129" s="83"/>
      <c r="AA129" s="23"/>
      <c r="AB129" s="23"/>
      <c r="AC129" s="7"/>
      <c r="AD129" s="7"/>
      <c r="AE129" s="62" t="str">
        <f aca="false">IF(Tasks[[#This Row],[Task Name]]="","",IF(Tasks[[#This Row],[_IsSummary]],MIN(INDEX(Tasks[_ShownFcstStart],Tasks[[#This Row],[_Row]]+1):INDEX(Tasks[_ShownFcstStart],Tasks[[#This Row],[_Row]]+Tasks[[#This Row],[_Descendants]])),Tasks[[#This Row],[_ShownFcstStart]]))</f>
        <v/>
      </c>
      <c r="AF129" s="62"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9" s="7"/>
      <c r="AK129" s="22"/>
      <c r="AL129" s="23"/>
      <c r="AM129" s="7"/>
      <c r="AN129" s="46"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2" t="str">
        <f aca="false">IF(Tasks[[#This Row],[Task Name]]="","",IF(N(Tasks[[#This Row],[Baseline Start]])&gt;0,Tasks[[#This Row],[Baseline Start]],Tasks[[#This Row],[_CalcStart]]))</f>
        <v/>
      </c>
      <c r="AR129" s="62" t="str">
        <f aca="false">IF(Tasks[[#This Row],[Task Name]]="","",IF(N(Tasks[[#This Row],[Baseline Finish]])&gt;0,Tasks[[#This Row],[Baseline Finish]],Tasks[[#This Row],[_CalcFinish]]))</f>
        <v/>
      </c>
      <c r="AS129" s="46" t="str">
        <f aca="false">IF(Tasks[[#This Row],[Task Name]]="","",IF(Tasks[[#This Row],[Start]]&gt;=Tasks[[#This Row],[Planned Start]],NETWORKDAYS.INTL(Tasks[[#This Row],[Planned Start]],Tasks[[#This Row],[Start]],WorkWeek,Holidays)-1,1-NETWORKDAYS.INTL(Tasks[[#This Row],[Start]],Tasks[[#This Row],[Planned Start]],WorkWeek,Holidays)))</f>
        <v/>
      </c>
      <c r="AT129" s="62" t="str">
        <f aca="false">IF(Tasks[[#This Row],[Task Name]]="","",IF(Tasks[[#This Row],[_IsSummary]],MIN(INDEX(Tasks[_LeafLateStart],Tasks[[#This Row],[_Row]]+1):INDEX(Tasks[_LeafLateStart],Tasks[[#This Row],[_Row]]+Tasks[[#This Row],[_Descendants]])),Tasks[[#This Row],[_LeafLateStart]]))</f>
        <v/>
      </c>
      <c r="AU129" s="62" t="str">
        <f aca="false">IF(Tasks[[#This Row],[Task Name]]="","",IF(Tasks[[#This Row],[_IsSummary]],MAX(INDEX(Tasks[_LeafLateFinish],Tasks[[#This Row],[_Row]]+1):INDEX(Tasks[_LeafLateFinish],Tasks[[#This Row],[_Row]]+Tasks[[#This Row],[_Descendants]])),Tasks[[#This Row],[_LeafLateFinish]]))</f>
        <v/>
      </c>
      <c r="AV129" s="46"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4"/>
      <c r="BA1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5"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6"/>
      <c r="BJ129" s="22"/>
      <c r="BK129" s="46" t="str">
        <f aca="false">IF(OR(Tasks[[#This Row],[Task Name]]="",Tasks[[#This Row],[Baseline Duration]]=""),"",Tasks[[#This Row],[_SpanDays]]-N(Tasks[[#This Row],[Baseline Duration]]))</f>
        <v/>
      </c>
      <c r="BL129" s="85" t="str">
        <f aca="false">IF(OR(Tasks[[#This Row],[Task Name]]="",Tasks[[#This Row],[Baseline Work]]=""),"",Tasks[[#This Row],[Work]]-N(Tasks[[#This Row],[Baseline Work]]))</f>
        <v/>
      </c>
      <c r="BM129" s="62" t="str">
        <f aca="false">IF(Tasks[[#This Row],[Task Name]]="","",IF(OR(TakeBaseline="Yes",N(Tasks[[#This Row],[Baseline Start]])=0),Tasks[[#This Row],[Start]],Tasks[[#This Row],[Baseline Start]]))</f>
        <v/>
      </c>
      <c r="BN129" s="62"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5" t="str">
        <f aca="false">IF(Tasks[[#This Row],[Task Name]]="","",IF(OR(TakeBaseline="Yes",N(Tasks[[#This Row],[Baseline Work]])=0),Tasks[[#This Row],[Work]],Tasks[[#This Row],[Baseline Work]]))</f>
        <v/>
      </c>
      <c r="BQ129" s="7"/>
      <c r="BR129" s="7"/>
      <c r="BS129" s="22"/>
      <c r="BT129" s="87"/>
      <c r="BU129" s="42" t="str">
        <f aca="false">IF(Tasks[[#This Row],[Task Name]]="","",MAX(1,N(Tasks[[#This Row],[Level]])))</f>
        <v/>
      </c>
      <c r="BV129" s="42" t="n">
        <f aca="false">ROW()-ROW(Tasks[[#Headers],[ID]])</f>
        <v>124</v>
      </c>
      <c r="BW129" s="42" t="n">
        <f aca="false">IF(OR(Tasks[[#This Row],[Task Name]]="",Tasks[[#This Row],[_Level]]&lt;=1),0,IFERROR(LOOKUP(2,1/(Tasks[[#Headers],[_Level]]:Tasks[[#This Row],[_Level]]=Tasks[[#This Row],[_Level]]-1),ROW(Tasks[[#Headers],[_Level]]:Tasks[[#This Row],[_Level]])),0))</f>
        <v>0</v>
      </c>
      <c r="BX129" s="42" t="n">
        <f aca="false">IFERROR(N(INDEX(Tasks[_Level],Tasks[[#This Row],[_Row]]+1)),0)</f>
        <v>0</v>
      </c>
      <c r="BY129" s="88" t="b">
        <f aca="false">AND(Tasks[[#This Row],[Task Name]]&lt;&gt;"",Tasks[[#This Row],[_NextLevel]]&gt;Tasks[[#This Row],[_Level]])</f>
        <v>0</v>
      </c>
      <c r="BZ129" s="42" t="n">
        <f aca="false">IF(Tasks[[#This Row],[_IsSummary]],COUNTIF(Tasks[WBS],Tasks[[#This Row],[WBS]]&amp;".*"),0)</f>
        <v>0</v>
      </c>
      <c r="CA129" s="42" t="n">
        <f aca="false">IF(AND(Tasks[[#This Row],[Task Name]]&lt;&gt;"",NOT(Tasks[[#This Row],[_IsSummary]])),1,0)</f>
        <v>0</v>
      </c>
      <c r="CB129" s="42" t="n">
        <f aca="false">IF(N(Tasks[[#This Row],[_Pred1UID]])=0,0,IFERROR(MATCH(Tasks[[#This Row],[_Pred1UID]],Tasks[UID],0),-1))</f>
        <v>0</v>
      </c>
      <c r="CC129" s="42" t="n">
        <f aca="false">IF(N(Tasks[[#This Row],[_Pred2UID]])=0,0,IFERROR(MATCH(Tasks[[#This Row],[_Pred2UID]],Tasks[UID],0),-1))</f>
        <v>0</v>
      </c>
      <c r="CD129" s="42" t="n">
        <f aca="false">IF(N(Tasks[[#This Row],[_Pred3UID]])=0,0,IFERROR(MATCH(Tasks[[#This Row],[_Pred3UID]],Tasks[UID],0),-1))</f>
        <v>0</v>
      </c>
      <c r="CE129" s="42" t="n">
        <f aca="false">IF(N(Tasks[[#This Row],[_Pred4UID]])=0,0,IFERROR(MATCH(Tasks[[#This Row],[_Pred4UID]],Tasks[UID],0),-1))</f>
        <v>0</v>
      </c>
      <c r="CF1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9" s="89" t="n">
        <f aca="false">IF(OR(Tasks[[#This Row],[_ConstraintCode]]=2,Tasks[[#This Row],[_ConstraintCode]]=3,Tasks[[#This Row],[_ConstraintCode]]=4,Tasks[[#This Row],[_ConstraintCode]]=6),Tasks[[#This Row],[_ConstraintStart]],0)</f>
        <v>0</v>
      </c>
      <c r="CI129" s="89" t="n">
        <f aca="false">IF(OR(Tasks[[#This Row],[_ConstraintCode]]=2,Tasks[[#This Row],[_ConstraintCode]]=3,Tasks[[#This Row],[_ConstraintCode]]=5,Tasks[[#This Row],[_ConstraintCode]]=7),Tasks[[#This Row],[_ConstraintStart]],2958465)</f>
        <v>2958465</v>
      </c>
      <c r="CJ1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9" s="89" t="str">
        <f aca="false">IF(NOT(Tasks[[#This Row],[_IsLeaf]]=1),"",IF(N(Tasks[[#This Row],[_Days]])&lt;=0,Tasks[[#This Row],[_LeafCalcStart]],WORKDAY.INTL(Tasks[[#This Row],[_LeafCalcStart]],Tasks[[#This Row],[_Days]]-1,WorkWeek,Holidays)))</f>
        <v/>
      </c>
      <c r="CL1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9" s="42" t="str">
        <f aca="false">IF(Tasks[[#This Row],[_Predecessors]]="","",TRIM(MID(SUBSTITUTE(SUBSTITUTE(SUBSTITUTE(UPPER(Tasks[[#This Row],[_Predecessors]]),";",",")," ",""),",",REPT(" ",99)),1,99)))</f>
        <v/>
      </c>
      <c r="CO129" s="42" t="str">
        <f aca="false">IF(Tasks[[#This Row],[_Pred1Text]]="","",IFERROR(VALUE(LEFT(Tasks[[#This Row],[_Pred1Text]],MIN(FIND("F",Tasks[[#This Row],[_Pred1Text]]&amp;"F"),FIND("S",Tasks[[#This Row],[_Pred1Text]]&amp;"S"),FIND("+",Tasks[[#This Row],[_Pred1Text]]&amp;"+"),FIND("-",Tasks[[#This Row],[_Pred1Text]]&amp;"-"))-1)),""))</f>
        <v/>
      </c>
      <c r="CP1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9" s="42" t="str">
        <f aca="false">IF(Tasks[[#This Row],[_Pred1Text]]="","",TRIM(MID(SUBSTITUTE(SUBSTITUTE(SUBSTITUTE(UPPER(Tasks[[#This Row],[_Predecessors]]),";",",")," ",""),",",REPT(" ",99)),100,99)))</f>
        <v/>
      </c>
      <c r="CS129" s="42" t="str">
        <f aca="false">IF(Tasks[[#This Row],[_Pred2Text]]="","",IFERROR(VALUE(LEFT(Tasks[[#This Row],[_Pred2Text]],MIN(FIND("F",Tasks[[#This Row],[_Pred2Text]]&amp;"F"),FIND("S",Tasks[[#This Row],[_Pred2Text]]&amp;"S"),FIND("+",Tasks[[#This Row],[_Pred2Text]]&amp;"+"),FIND("-",Tasks[[#This Row],[_Pred2Text]]&amp;"-"))-1)),""))</f>
        <v/>
      </c>
      <c r="CT1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9" s="42" t="str">
        <f aca="false">IF(Tasks[[#This Row],[_Pred2Text]]="","",TRIM(MID(SUBSTITUTE(SUBSTITUTE(SUBSTITUTE(UPPER(Tasks[[#This Row],[_Predecessors]]),";",",")," ",""),",",REPT(" ",99)),199,99)))</f>
        <v/>
      </c>
      <c r="CW129" s="42" t="str">
        <f aca="false">IF(Tasks[[#This Row],[_Pred3Text]]="","",IFERROR(VALUE(LEFT(Tasks[[#This Row],[_Pred3Text]],MIN(FIND("F",Tasks[[#This Row],[_Pred3Text]]&amp;"F"),FIND("S",Tasks[[#This Row],[_Pred3Text]]&amp;"S"),FIND("+",Tasks[[#This Row],[_Pred3Text]]&amp;"+"),FIND("-",Tasks[[#This Row],[_Pred3Text]]&amp;"-"))-1)),""))</f>
        <v/>
      </c>
      <c r="CX1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9" s="42" t="str">
        <f aca="false">IF(Tasks[[#This Row],[_Pred3Text]]="","",TRIM(MID(SUBSTITUTE(SUBSTITUTE(SUBSTITUTE(UPPER(Tasks[[#This Row],[_Predecessors]]),";",",")," ",""),",",REPT(" ",99)),298,99)))</f>
        <v/>
      </c>
      <c r="DA129" s="42" t="str">
        <f aca="false">IF(Tasks[[#This Row],[_Pred4Text]]="","",IFERROR(VALUE(LEFT(Tasks[[#This Row],[_Pred4Text]],MIN(FIND("F",Tasks[[#This Row],[_Pred4Text]]&amp;"F"),FIND("S",Tasks[[#This Row],[_Pred4Text]]&amp;"S"),FIND("+",Tasks[[#This Row],[_Pred4Text]]&amp;"+"),FIND("-",Tasks[[#This Row],[_Pred4Text]]&amp;"-"))-1)),""))</f>
        <v/>
      </c>
      <c r="DB1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9" s="42" t="str">
        <f aca="false">IF(OR(Tasks[[#This Row],[Task Name]]="",Tasks[[#This Row],[_Resources]]=""),"",TRIM(MID(SUBSTITUTE(Tasks[[#This Row],[_Resources]],",",REPT(" ",99)),1,99)))</f>
        <v/>
      </c>
      <c r="DE129" s="42" t="str">
        <f aca="false">IF(Tasks[[#This Row],[_Res1Text]]="","",TRIM(MID(SUBSTITUTE(Tasks[[#This Row],[_Resources]],",",REPT(" ",99)),100,99)))</f>
        <v/>
      </c>
      <c r="DF129" s="42" t="str">
        <f aca="false">IF(Tasks[[#This Row],[_Res2Text]]="","",TRIM(MID(SUBSTITUTE(Tasks[[#This Row],[_Resources]],",",REPT(" ",99)),199,99)))</f>
        <v/>
      </c>
      <c r="DG129" s="42" t="str">
        <f aca="false">IF(Tasks[[#This Row],[_Res3Text]]="","",TRIM(MID(SUBSTITUTE(Tasks[[#This Row],[_Resources]],",",REPT(" ",99)),298,99)))</f>
        <v/>
      </c>
      <c r="DH129" s="42" t="n">
        <f aca="false">IF(Tasks[[#This Row],[_Res1Text]]="",0,IFERROR(MATCH(TRIM(LEFT(Tasks[[#This Row],[_Res1Text]],FIND("[",Tasks[[#This Row],[_Res1Text]]&amp;"[")-1)),res_Name,0),IFERROR(MATCH(TRIM(LEFT(Tasks[[#This Row],[_Res1Text]],FIND("[",Tasks[[#This Row],[_Res1Text]]&amp;"[")-1)),res_Initials,0),0)))</f>
        <v>0</v>
      </c>
      <c r="DI129" s="42" t="n">
        <f aca="false">IF(Tasks[[#This Row],[_Res2Text]]="",0,IFERROR(MATCH(TRIM(LEFT(Tasks[[#This Row],[_Res2Text]],FIND("[",Tasks[[#This Row],[_Res2Text]]&amp;"[")-1)),res_Name,0),IFERROR(MATCH(TRIM(LEFT(Tasks[[#This Row],[_Res2Text]],FIND("[",Tasks[[#This Row],[_Res2Text]]&amp;"[")-1)),res_Initials,0),0)))</f>
        <v>0</v>
      </c>
      <c r="DJ129" s="42" t="n">
        <f aca="false">IF(Tasks[[#This Row],[_Res3Text]]="",0,IFERROR(MATCH(TRIM(LEFT(Tasks[[#This Row],[_Res3Text]],FIND("[",Tasks[[#This Row],[_Res3Text]]&amp;"[")-1)),res_Name,0),IFERROR(MATCH(TRIM(LEFT(Tasks[[#This Row],[_Res3Text]],FIND("[",Tasks[[#This Row],[_Res3Text]]&amp;"[")-1)),res_Initials,0),0)))</f>
        <v>0</v>
      </c>
      <c r="DK129" s="42" t="n">
        <f aca="false">IF(Tasks[[#This Row],[_Res4Text]]="",0,IFERROR(MATCH(TRIM(LEFT(Tasks[[#This Row],[_Res4Text]],FIND("[",Tasks[[#This Row],[_Res4Text]]&amp;"[")-1)),res_Name,0),IFERROR(MATCH(TRIM(LEFT(Tasks[[#This Row],[_Res4Text]],FIND("[",Tasks[[#This Row],[_Res4Text]]&amp;"[")-1)),res_Initials,0),0)))</f>
        <v>0</v>
      </c>
      <c r="DL129" s="42" t="str">
        <f aca="false">IF(Tasks[[#This Row],[_Res1Text]]="","",IF(Tasks[[#This Row],[_Res1Row]]&gt;0,INDEX(res_Name,Tasks[[#This Row],[_Res1Row]]),TRIM(LEFT(Tasks[[#This Row],[_Res1Text]],FIND("[",Tasks[[#This Row],[_Res1Text]]&amp;"[")-1))))</f>
        <v/>
      </c>
      <c r="DM1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9" s="42" t="n">
        <f aca="false">IF(NOT(Tasks[[#This Row],[_IsLeaf]]=1),0,(Tasks[[#This Row],[_Resource1]]&lt;&gt;"")+(Tasks[[#This Row],[_Res2]]&lt;&gt;"")+(Tasks[[#This Row],[_Res3]]&lt;&gt;"")+(Tasks[[#This Row],[_Res4]]&lt;&gt;""))</f>
        <v>0</v>
      </c>
      <c r="DO129" s="42" t="str">
        <f aca="false">IF(Tasks[[#This Row],[_Res2Text]]="","",IF(Tasks[[#This Row],[_Res2Row]]&gt;0,INDEX(res_Name,Tasks[[#This Row],[_Res2Row]]),TRIM(LEFT(Tasks[[#This Row],[_Res2Text]],FIND("[",Tasks[[#This Row],[_Res2Text]]&amp;"[")-1))))</f>
        <v/>
      </c>
      <c r="DP1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9" s="42" t="n">
        <f aca="false">IF(OR(NOT(Tasks[[#This Row],[_IsLeaf]]=1),Tasks[[#This Row],[_Res2Row]]=0),0,N(Tasks[[#This Row],[_Days]])*HoursPerDay*IF(Tasks[[#This Row],[_Res2Units]]="",DefaultUnits,Tasks[[#This Row],[_Res2Units]]))</f>
        <v>0</v>
      </c>
      <c r="DR129" s="42" t="n">
        <f aca="false">IF(AND(AND(Tasks[[#This Row],[_IsLeaf]]=1,Tasks[[#This Row],[_LeafTotalWork]]&gt;0),Tasks[[#This Row],[_Res2Work]]&gt;0),Tasks[[#This Row],[_Res2Work]]/(Tasks[[#This Row],[_FinishWorkday]]-Tasks[[#This Row],[_StartWorkday]]+1),0)</f>
        <v>0</v>
      </c>
      <c r="DS129" s="42" t="n">
        <f aca="false">Tasks[[#This Row],[_Res2WorkPerWD]]*MAX(0,Tasks[[#This Row],[_StartWorkday]]-1)</f>
        <v>0</v>
      </c>
      <c r="DT129" s="42" t="n">
        <f aca="false">Tasks[[#This Row],[_Res2Work]]*Tasks[[#This Row],[_LeafProgress]]</f>
        <v>0</v>
      </c>
      <c r="DU129" s="42" t="str">
        <f aca="false">IF(Tasks[[#This Row],[_Res3Text]]="","",IF(Tasks[[#This Row],[_Res3Row]]&gt;0,INDEX(res_Name,Tasks[[#This Row],[_Res3Row]]),TRIM(LEFT(Tasks[[#This Row],[_Res3Text]],FIND("[",Tasks[[#This Row],[_Res3Text]]&amp;"[")-1))))</f>
        <v/>
      </c>
      <c r="DV1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9" s="42" t="n">
        <f aca="false">IF(OR(NOT(Tasks[[#This Row],[_IsLeaf]]=1),Tasks[[#This Row],[_Res3Row]]=0),0,N(Tasks[[#This Row],[_Days]])*HoursPerDay*IF(Tasks[[#This Row],[_Res3Units]]="",DefaultUnits,Tasks[[#This Row],[_Res3Units]]))</f>
        <v>0</v>
      </c>
      <c r="DX129" s="42" t="n">
        <f aca="false">IF(AND(AND(Tasks[[#This Row],[_IsLeaf]]=1,Tasks[[#This Row],[_LeafTotalWork]]&gt;0),Tasks[[#This Row],[_Res3Work]]&gt;0),Tasks[[#This Row],[_Res3Work]]/(Tasks[[#This Row],[_FinishWorkday]]-Tasks[[#This Row],[_StartWorkday]]+1),0)</f>
        <v>0</v>
      </c>
      <c r="DY129" s="42" t="n">
        <f aca="false">Tasks[[#This Row],[_Res3WorkPerWD]]*MAX(0,Tasks[[#This Row],[_StartWorkday]]-1)</f>
        <v>0</v>
      </c>
      <c r="DZ129" s="42" t="n">
        <f aca="false">Tasks[[#This Row],[_Res3Work]]*Tasks[[#This Row],[_LeafProgress]]</f>
        <v>0</v>
      </c>
      <c r="EA129" s="42" t="str">
        <f aca="false">IF(Tasks[[#This Row],[_Res4Text]]="","",IF(Tasks[[#This Row],[_Res4Row]]&gt;0,INDEX(res_Name,Tasks[[#This Row],[_Res4Row]]),TRIM(LEFT(Tasks[[#This Row],[_Res4Text]],FIND("[",Tasks[[#This Row],[_Res4Text]]&amp;"[")-1))))</f>
        <v/>
      </c>
      <c r="EB1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9" s="42" t="n">
        <f aca="false">IF(OR(NOT(Tasks[[#This Row],[_IsLeaf]]=1),Tasks[[#This Row],[_Res4Row]]=0),0,N(Tasks[[#This Row],[_Days]])*HoursPerDay*IF(Tasks[[#This Row],[_Res4Units]]="",DefaultUnits,Tasks[[#This Row],[_Res4Units]]))</f>
        <v>0</v>
      </c>
      <c r="ED129" s="42" t="n">
        <f aca="false">IF(AND(AND(Tasks[[#This Row],[_IsLeaf]]=1,Tasks[[#This Row],[_LeafTotalWork]]&gt;0),Tasks[[#This Row],[_Res4Work]]&gt;0),Tasks[[#This Row],[_Res4Work]]/(Tasks[[#This Row],[_FinishWorkday]]-Tasks[[#This Row],[_StartWorkday]]+1),0)</f>
        <v>0</v>
      </c>
      <c r="EE129" s="42" t="n">
        <f aca="false">Tasks[[#This Row],[_Res4WorkPerWD]]*MAX(0,Tasks[[#This Row],[_StartWorkday]]-1)</f>
        <v>0</v>
      </c>
      <c r="EF129" s="42" t="n">
        <f aca="false">Tasks[[#This Row],[_Res4Work]]*Tasks[[#This Row],[_LeafProgress]]</f>
        <v>0</v>
      </c>
      <c r="EG129" s="42" t="n">
        <f aca="false">IF(ISNUMBER(Tasks[[#This Row],[% Complete]]),Tasks[[#This Row],[% Complete]],IF(Tasks[[#This Row],[Stage]]="",0,IFERROR(INDEX(stg_Pct,MATCH(Tasks[[#This Row],[Stage]],stg_Name,0)),0)))</f>
        <v>0</v>
      </c>
      <c r="EH129" s="42" t="n">
        <f aca="false">IF(NOT(Tasks[[#This Row],[_IsLeaf]]=1),0,IF(N(Tasks[[#This Row],[Actual Finish]])&gt;0,1,MIN(1,Tasks[[#This Row],[_Pct]])))</f>
        <v>0</v>
      </c>
      <c r="EI129" s="42" t="n">
        <f aca="false">IF(OR(NOT(Tasks[[#This Row],[_IsLeaf]]=1),Tasks[[#This Row],[_Res1Row]]=0),0,N(Tasks[[#This Row],[_Days]])*HoursPerDay*IF(Tasks[[#This Row],[_Units1]]="",DefaultUnits,Tasks[[#This Row],[_Units1]]))</f>
        <v>0</v>
      </c>
      <c r="EJ129" s="42" t="n">
        <f aca="false">Tasks[[#This Row],[_LeafWork]]+Tasks[[#This Row],[_Res2Work]]+Tasks[[#This Row],[_Res3Work]]+Tasks[[#This Row],[_Res4Work]]</f>
        <v>0</v>
      </c>
      <c r="EK1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9" s="42" t="n">
        <f aca="false">IF(NOT(Tasks[[#This Row],[_IsLeaf]]=1),0,MAX(_xlfn.MAXIFS(Tasks[_Row],Tasks[_Pred1UID],Tasks[[#This Row],[UID]]),_xlfn.MAXIFS(Tasks[_Row],Tasks[_Pred2UID],Tasks[[#This Row],[UID]]),_xlfn.MAXIFS(Tasks[_Row],Tasks[_Pred3UID],Tasks[[#This Row],[UID]]),_xlfn.MAXIFS(Tasks[_Row],Tasks[_Pred4UID],Tasks[[#This Row],[UID]])))</f>
        <v>0</v>
      </c>
      <c r="ET1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9" s="89" t="str">
        <f aca="false">IF(NOT(Tasks[[#This Row],[_IsLeaf]]=1),"",IF(N(Tasks[[#This Row],[_Days]])&lt;=0,Tasks[[#This Row],[_LeafLateFinish]],WORKDAY.INTL(Tasks[[#This Row],[_LeafLateFinish]],-(Tasks[[#This Row],[_Days]]-1),WorkWeek,Holidays)))</f>
        <v/>
      </c>
      <c r="EW1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9" s="88" t="b">
        <f aca="false">AND(Tasks[[#This Row],[_IsLeaf]]=1,Tasks[[#This Row],[_LeafProgress]]&lt;1,N(Tasks[[#This Row],[_LeafTotalSlack]])&lt;=CriticalSlackDays)</f>
        <v>0</v>
      </c>
      <c r="EY129" s="42" t="n">
        <f aca="false">IF(AND(Tasks[[#This Row],[_IsLeaf]]=1,Tasks[[#This Row],[_ConstraintCode]]=1,Tasks[[#This Row],[Mode]]&lt;&gt;"Manual",N(Tasks[[#This Row],[Actual Start]])=0),MAX(0,N(Tasks[[#This Row],[Free Slack]])),0)</f>
        <v>0</v>
      </c>
      <c r="EZ129" s="89" t="str">
        <f aca="false">IF(NOT(Tasks[[#This Row],[_IsLeaf]]=1),"",IF(Tasks[[#This Row],[_AlapShift]]=0,Tasks[[#This Row],[_LeafCalcStart]],WORKDAY.INTL(Tasks[[#This Row],[_LeafCalcStart]],Tasks[[#This Row],[_AlapShift]],WorkWeek,Holidays)))</f>
        <v/>
      </c>
      <c r="FA129" s="89" t="str">
        <f aca="false">IF(NOT(Tasks[[#This Row],[_IsLeaf]]=1),"",IF(Tasks[[#This Row],[_AlapShift]]=0,Tasks[[#This Row],[_LeafCalcFinish]],WORKDAY.INTL(Tasks[[#This Row],[_LeafCalcFinish]],Tasks[[#This Row],[_AlapShift]],WorkWeek,Holidays)))</f>
        <v/>
      </c>
      <c r="FB129" s="89" t="str">
        <f aca="false">IF(NOT(Tasks[[#This Row],[_IsLeaf]]=1),"",IF(Tasks[[#This Row],[_AlapShift]]=0,Tasks[[#This Row],[_LeafFcstStart]],WORKDAY.INTL(Tasks[[#This Row],[_LeafFcstStart]],Tasks[[#This Row],[_AlapShift]],WorkWeek,Holidays)))</f>
        <v/>
      </c>
      <c r="FC129" s="89" t="str">
        <f aca="false">IF(NOT(Tasks[[#This Row],[_IsLeaf]]=1),"",IF(Tasks[[#This Row],[_AlapShift]]=0,Tasks[[#This Row],[_LeafFcstFinish]],WORKDAY.INTL(Tasks[[#This Row],[_LeafFcstFinish]],Tasks[[#This Row],[_AlapShift]],WorkWeek,Holidays)))</f>
        <v/>
      </c>
      <c r="FD129" s="89" t="str">
        <f aca="false">IF(Tasks[[#This Row],[Task Name]]="","",IF(Tasks[[#This Row],[_IsSummary]],MIN(INDEX(Tasks[_ShownCalcStart],Tasks[[#This Row],[_Row]]+1):INDEX(Tasks[_ShownCalcStart],Tasks[[#This Row],[_Row]]+Tasks[[#This Row],[_Descendants]])),Tasks[[#This Row],[_ShownCalcStart]]))</f>
        <v/>
      </c>
      <c r="FE129" s="89" t="str">
        <f aca="false">IF(Tasks[[#This Row],[Task Name]]="","",IF(Tasks[[#This Row],[_IsSummary]],MAX(INDEX(Tasks[_ShownCalcFinish],Tasks[[#This Row],[_Row]]+1):INDEX(Tasks[_ShownCalcFinish],Tasks[[#This Row],[_Row]]+Tasks[[#This Row],[_Descendants]])),Tasks[[#This Row],[_ShownCalcFinish]]))</f>
        <v/>
      </c>
      <c r="FF1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9" s="42" t="n">
        <f aca="false">IF(AND(Tasks[[#This Row],[_IsLeaf]]=1,Tasks[[#This Row],[_LeafTotalWork]]&gt;0),NETWORKDAYS.INTL(ProjectStart,Tasks[[#This Row],[_ShownFcstStart]],WorkWeek,Holidays),0)</f>
        <v>0</v>
      </c>
      <c r="FS129" s="42" t="n">
        <f aca="false">IF(AND(Tasks[[#This Row],[_IsLeaf]]=1,Tasks[[#This Row],[_LeafTotalWork]]&gt;0),MAX(Tasks[[#This Row],[_StartWorkday]],NETWORKDAYS.INTL(ProjectStart,Tasks[[#This Row],[_ShownFcstFinish]],WorkWeek,Holidays)),0)</f>
        <v>0</v>
      </c>
      <c r="FT129" s="42" t="n">
        <f aca="false">IF(AND(Tasks[[#This Row],[_IsLeaf]]=1,Tasks[[#This Row],[_LeafTotalWork]]&gt;0),Tasks[[#This Row],[_LeafWork]]/(Tasks[[#This Row],[_FinishWorkday]]-Tasks[[#This Row],[_StartWorkday]]+1),0)</f>
        <v>0</v>
      </c>
      <c r="FU129" s="42" t="n">
        <f aca="false">Tasks[[#This Row],[_WorkPerWorkday]]*(Tasks[[#This Row],[_StartWorkday]]-1)</f>
        <v>-0</v>
      </c>
      <c r="FV129" s="42" t="n">
        <f aca="false">IF(Tasks[[#This Row],[_IsLeaf]]=1,MAX(N(Tasks[[#This Row],[_Days]]),0.1),0)</f>
        <v>0</v>
      </c>
      <c r="FW129" s="42" t="n">
        <f aca="false">Tasks[[#This Row],[_WeightDur]]*Tasks[[#This Row],[_LeafProgress]]</f>
        <v>0</v>
      </c>
      <c r="FX129" s="42" t="n">
        <f aca="false">Tasks[[#This Row],[_WeightDur]]*Tasks[[#This Row],[_PlannedPct]]</f>
        <v>0</v>
      </c>
      <c r="FY1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9" s="42" t="str">
        <f aca="false">IF(AND(Tasks[[#This Row],[_IsLeaf]]=1,N(Tasks[[#This Row],[_Days]])=0,Tasks[[#This Row],[_LeafProgress]]&lt;1),Tasks[[#This Row],[_ShownFcstFinish]]+Tasks[[#This Row],[_Row]]/100000,"")</f>
        <v/>
      </c>
      <c r="GA1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9" s="42" t="str">
        <f aca="false">IF(Tasks[[#This Row],[Task Name]]="","",LEFT(Tasks[[#This Row],[WBS]],FIND(".",Tasks[[#This Row],[WBS]]&amp;".")-1))</f>
        <v/>
      </c>
      <c r="GC129" s="42" t="str">
        <f aca="false">IF(AND(Tasks[[#This Row],[Task Name]]&lt;&gt;"",Tasks[[#This Row],[_Level]]=1),Tasks[[#This Row],[_Row]],"")</f>
        <v/>
      </c>
      <c r="GD129" s="42" t="str">
        <f aca="false">IF(AND(Tasks[[#This Row],[_IsLeaf]]=1,N(Tasks[[#This Row],[_Days]])=0),Tasks[[#This Row],[Planned Finish]]+Tasks[[#This Row],[_Row]]/100000,"")</f>
        <v/>
      </c>
      <c r="GE129" s="42" t="str">
        <f aca="false">IF(AND(Tasks[[#This Row],[_IsLeaf]]=1,Tasks[[#This Row],[_LeafProgress]]&lt;1,OR(N(Tasks[[#This Row],[Finish Var]])&gt;0,Tasks[[#This Row],[Status]]="Late Start")),MAX(0,Tasks[[#This Row],[Finish Var]])+1-Tasks[[#This Row],[_Row]]/1000000,"")</f>
        <v/>
      </c>
      <c r="GF129" s="42" t="str">
        <f aca="false">IF(AND(Tasks[[#This Row],[_IsLeaf]]=1,N(Tasks[[#This Row],[Actual Start]])=0,Tasks[[#This Row],[_ShownFcstStart]]&gt;=StatusDate,Tasks[[#This Row],[_ShownFcstStart]]&lt;=LookaheadEnd),Tasks[[#This Row],[_ShownFcstStart]]+Tasks[[#This Row],[_Row]]/100000,"")</f>
        <v/>
      </c>
      <c r="GG129" s="42" t="str">
        <f aca="false">IF(AND(Tasks[[#This Row],[_IsLeaf]]=1,Tasks[[#This Row],[_LeafProgress]]&lt;1,Tasks[[#This Row],[_ShownFcstFinish]]&gt;=StatusDate,Tasks[[#This Row],[_ShownFcstFinish]]&lt;=LookaheadEnd),Tasks[[#This Row],[_ShownFcstFinish]]+Tasks[[#This Row],[_Row]]/100000,"")</f>
        <v/>
      </c>
      <c r="GH129" s="42" t="str">
        <f aca="false">IF(Tasks[[#This Row],[_LeafCritical]],Tasks[[#This Row],[_ShownFcstStart]]+Tasks[[#This Row],[_Row]]/100000,"")</f>
        <v/>
      </c>
      <c r="GI129" s="42" t="n">
        <f aca="false">Tasks[[#This Row],[_LeafWork]]*Tasks[[#This Row],[_LeafProgress]]</f>
        <v>0</v>
      </c>
      <c r="GJ129" s="89" t="str">
        <f aca="false">IF(AND(Tasks[[#This Row],[_IsLeaf]]=1,Tasks[[#This Row],[_LeafProgress]]&gt;=1),IF(N(Tasks[[#This Row],[Actual Finish]])&gt;0,Tasks[[#This Row],[Actual Finish]],Tasks[[#This Row],[_ShownFcstFinish]]),"")</f>
        <v/>
      </c>
      <c r="GK129" s="42" t="n">
        <f aca="false">IF(Tasks[[#This Row],[_IsLeaf]]=1,N(Tasks[[#This Row],[Story Points]]),0)</f>
        <v>0</v>
      </c>
      <c r="GL129" s="42" t="str">
        <f aca="false">""</f>
        <v/>
      </c>
      <c r="GM129" s="88" t="b">
        <f aca="false">IF(Tasks[[#This Row],[Task Name]]="",FALSE(),AND(Tasks[[#This Row],[_IsLeaf]]=1,N(Tasks[[#This Row],[_Days]])=0))</f>
        <v>0</v>
      </c>
      <c r="GN129" s="89" t="n">
        <f aca="false">IF(Tasks[[#This Row],[Task Name]]="",0,IF(AND(Tasks[[#This Row],[_IsLeaf]]=1,NOT(Tasks[[#This Row],[_IsMilestone]]),N(Tasks[[#This Row],[Progress]])&gt;0),Tasks[[#This Row],[Start]],0))</f>
        <v>0</v>
      </c>
      <c r="GO129" s="89" t="n">
        <f aca="false">IF(Tasks[[#This Row],[_DoneFrom]]=0,0,IF(Tasks[[#This Row],[Progress]]&gt;=1,Tasks[[#This Row],[Finish]],MAX(Tasks[[#This Row],[_DoneFrom]],Tasks[[#This Row],[Start]]+ROUND((Tasks[[#This Row],[Finish]]-Tasks[[#This Row],[Start]]+1)*Tasks[[#This Row],[Progress]],0)-1)))</f>
        <v>0</v>
      </c>
      <c r="GP129" s="89" t="n">
        <f aca="false">IF(Tasks[[#This Row],[Task Name]]="",0,IF(OR(NOT(Tasks[[#This Row],[_IsLeaf]]=1),Tasks[[#This Row],[_IsMilestone]],N(Tasks[[#This Row],[Progress]])&gt;=1),0,IF(Tasks[[#This Row],[_DoneTo]]&gt;0,Tasks[[#This Row],[_DoneTo]]+1,Tasks[[#This Row],[Start]])))</f>
        <v>0</v>
      </c>
      <c r="GQ129" s="89" t="n">
        <f aca="false">IF(Tasks[[#This Row],[_RemFrom]]=0,0,Tasks[[#This Row],[Finish]])</f>
        <v>0</v>
      </c>
      <c r="GR129" s="88" t="b">
        <f aca="false">IF(Tasks[[#This Row],[Task Name]]="",FALSE(),OR(NOT(BaselineSet),N(Tasks[[#This Row],[Baseline Start]])&gt;0))</f>
        <v>0</v>
      </c>
      <c r="GS1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9" s="90" t="str">
        <f aca="false">IF(Tasks[[#This Row],[_IsLeaf]]=1,Tasks[[#This Row],[_Row]],"")</f>
        <v/>
      </c>
      <c r="GW129" s="90" t="str">
        <f aca="false">IFERROR(INDEX(Tasks[UID],SMALL(Tasks[_PickKey],Tasks[[#This Row],[_Row]]))&amp;" "&amp;INDEX(Tasks[Task Name],SMALL(Tasks[_PickKey],Tasks[[#This Row],[_Row]])),"")</f>
        <v/>
      </c>
      <c r="GX129" s="42" t="str">
        <f aca="false">IF(Tasks[[#This Row],[Task Name]]="","",IF(Tasks[[#This Row],[_IsSummary]],NETWORKDAYS.INTL(Tasks[[#This Row],[Start]],Tasks[[#This Row],[Finish]],WorkWeek,Holidays),N(Tasks[[#This Row],[_Days]])))</f>
        <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3"/>
      <c r="U130" s="23"/>
      <c r="V130" s="83"/>
      <c r="W130" s="23"/>
      <c r="X130" s="83"/>
      <c r="Y130" s="23"/>
      <c r="Z130" s="83"/>
      <c r="AA130" s="23"/>
      <c r="AB130" s="23"/>
      <c r="AC130" s="7"/>
      <c r="AD130" s="7"/>
      <c r="AE130" s="62" t="str">
        <f aca="false">IF(Tasks[[#This Row],[Task Name]]="","",IF(Tasks[[#This Row],[_IsSummary]],MIN(INDEX(Tasks[_ShownFcstStart],Tasks[[#This Row],[_Row]]+1):INDEX(Tasks[_ShownFcstStart],Tasks[[#This Row],[_Row]]+Tasks[[#This Row],[_Descendants]])),Tasks[[#This Row],[_ShownFcstStart]]))</f>
        <v/>
      </c>
      <c r="AF130" s="62"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0" s="7"/>
      <c r="AK130" s="22"/>
      <c r="AL130" s="23"/>
      <c r="AM130" s="7"/>
      <c r="AN130" s="46"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2" t="str">
        <f aca="false">IF(Tasks[[#This Row],[Task Name]]="","",IF(N(Tasks[[#This Row],[Baseline Start]])&gt;0,Tasks[[#This Row],[Baseline Start]],Tasks[[#This Row],[_CalcStart]]))</f>
        <v/>
      </c>
      <c r="AR130" s="62" t="str">
        <f aca="false">IF(Tasks[[#This Row],[Task Name]]="","",IF(N(Tasks[[#This Row],[Baseline Finish]])&gt;0,Tasks[[#This Row],[Baseline Finish]],Tasks[[#This Row],[_CalcFinish]]))</f>
        <v/>
      </c>
      <c r="AS130" s="46" t="str">
        <f aca="false">IF(Tasks[[#This Row],[Task Name]]="","",IF(Tasks[[#This Row],[Start]]&gt;=Tasks[[#This Row],[Planned Start]],NETWORKDAYS.INTL(Tasks[[#This Row],[Planned Start]],Tasks[[#This Row],[Start]],WorkWeek,Holidays)-1,1-NETWORKDAYS.INTL(Tasks[[#This Row],[Start]],Tasks[[#This Row],[Planned Start]],WorkWeek,Holidays)))</f>
        <v/>
      </c>
      <c r="AT130" s="62" t="str">
        <f aca="false">IF(Tasks[[#This Row],[Task Name]]="","",IF(Tasks[[#This Row],[_IsSummary]],MIN(INDEX(Tasks[_LeafLateStart],Tasks[[#This Row],[_Row]]+1):INDEX(Tasks[_LeafLateStart],Tasks[[#This Row],[_Row]]+Tasks[[#This Row],[_Descendants]])),Tasks[[#This Row],[_LeafLateStart]]))</f>
        <v/>
      </c>
      <c r="AU130" s="62" t="str">
        <f aca="false">IF(Tasks[[#This Row],[Task Name]]="","",IF(Tasks[[#This Row],[_IsSummary]],MAX(INDEX(Tasks[_LeafLateFinish],Tasks[[#This Row],[_Row]]+1):INDEX(Tasks[_LeafLateFinish],Tasks[[#This Row],[_Row]]+Tasks[[#This Row],[_Descendants]])),Tasks[[#This Row],[_LeafLateFinish]]))</f>
        <v/>
      </c>
      <c r="AV130" s="46"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4"/>
      <c r="BA1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5"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6"/>
      <c r="BJ130" s="22"/>
      <c r="BK130" s="46" t="str">
        <f aca="false">IF(OR(Tasks[[#This Row],[Task Name]]="",Tasks[[#This Row],[Baseline Duration]]=""),"",Tasks[[#This Row],[_SpanDays]]-N(Tasks[[#This Row],[Baseline Duration]]))</f>
        <v/>
      </c>
      <c r="BL130" s="85" t="str">
        <f aca="false">IF(OR(Tasks[[#This Row],[Task Name]]="",Tasks[[#This Row],[Baseline Work]]=""),"",Tasks[[#This Row],[Work]]-N(Tasks[[#This Row],[Baseline Work]]))</f>
        <v/>
      </c>
      <c r="BM130" s="62" t="str">
        <f aca="false">IF(Tasks[[#This Row],[Task Name]]="","",IF(OR(TakeBaseline="Yes",N(Tasks[[#This Row],[Baseline Start]])=0),Tasks[[#This Row],[Start]],Tasks[[#This Row],[Baseline Start]]))</f>
        <v/>
      </c>
      <c r="BN130" s="62"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5" t="str">
        <f aca="false">IF(Tasks[[#This Row],[Task Name]]="","",IF(OR(TakeBaseline="Yes",N(Tasks[[#This Row],[Baseline Work]])=0),Tasks[[#This Row],[Work]],Tasks[[#This Row],[Baseline Work]]))</f>
        <v/>
      </c>
      <c r="BQ130" s="7"/>
      <c r="BR130" s="7"/>
      <c r="BS130" s="22"/>
      <c r="BT130" s="87"/>
      <c r="BU130" s="42" t="str">
        <f aca="false">IF(Tasks[[#This Row],[Task Name]]="","",MAX(1,N(Tasks[[#This Row],[Level]])))</f>
        <v/>
      </c>
      <c r="BV130" s="42" t="n">
        <f aca="false">ROW()-ROW(Tasks[[#Headers],[ID]])</f>
        <v>125</v>
      </c>
      <c r="BW130" s="42" t="n">
        <f aca="false">IF(OR(Tasks[[#This Row],[Task Name]]="",Tasks[[#This Row],[_Level]]&lt;=1),0,IFERROR(LOOKUP(2,1/(Tasks[[#Headers],[_Level]]:Tasks[[#This Row],[_Level]]=Tasks[[#This Row],[_Level]]-1),ROW(Tasks[[#Headers],[_Level]]:Tasks[[#This Row],[_Level]])),0))</f>
        <v>0</v>
      </c>
      <c r="BX130" s="42" t="n">
        <f aca="false">IFERROR(N(INDEX(Tasks[_Level],Tasks[[#This Row],[_Row]]+1)),0)</f>
        <v>0</v>
      </c>
      <c r="BY130" s="88" t="b">
        <f aca="false">AND(Tasks[[#This Row],[Task Name]]&lt;&gt;"",Tasks[[#This Row],[_NextLevel]]&gt;Tasks[[#This Row],[_Level]])</f>
        <v>0</v>
      </c>
      <c r="BZ130" s="42" t="n">
        <f aca="false">IF(Tasks[[#This Row],[_IsSummary]],COUNTIF(Tasks[WBS],Tasks[[#This Row],[WBS]]&amp;".*"),0)</f>
        <v>0</v>
      </c>
      <c r="CA130" s="42" t="n">
        <f aca="false">IF(AND(Tasks[[#This Row],[Task Name]]&lt;&gt;"",NOT(Tasks[[#This Row],[_IsSummary]])),1,0)</f>
        <v>0</v>
      </c>
      <c r="CB130" s="42" t="n">
        <f aca="false">IF(N(Tasks[[#This Row],[_Pred1UID]])=0,0,IFERROR(MATCH(Tasks[[#This Row],[_Pred1UID]],Tasks[UID],0),-1))</f>
        <v>0</v>
      </c>
      <c r="CC130" s="42" t="n">
        <f aca="false">IF(N(Tasks[[#This Row],[_Pred2UID]])=0,0,IFERROR(MATCH(Tasks[[#This Row],[_Pred2UID]],Tasks[UID],0),-1))</f>
        <v>0</v>
      </c>
      <c r="CD130" s="42" t="n">
        <f aca="false">IF(N(Tasks[[#This Row],[_Pred3UID]])=0,0,IFERROR(MATCH(Tasks[[#This Row],[_Pred3UID]],Tasks[UID],0),-1))</f>
        <v>0</v>
      </c>
      <c r="CE130" s="42" t="n">
        <f aca="false">IF(N(Tasks[[#This Row],[_Pred4UID]])=0,0,IFERROR(MATCH(Tasks[[#This Row],[_Pred4UID]],Tasks[UID],0),-1))</f>
        <v>0</v>
      </c>
      <c r="CF1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0" s="89" t="n">
        <f aca="false">IF(OR(Tasks[[#This Row],[_ConstraintCode]]=2,Tasks[[#This Row],[_ConstraintCode]]=3,Tasks[[#This Row],[_ConstraintCode]]=4,Tasks[[#This Row],[_ConstraintCode]]=6),Tasks[[#This Row],[_ConstraintStart]],0)</f>
        <v>0</v>
      </c>
      <c r="CI130" s="89" t="n">
        <f aca="false">IF(OR(Tasks[[#This Row],[_ConstraintCode]]=2,Tasks[[#This Row],[_ConstraintCode]]=3,Tasks[[#This Row],[_ConstraintCode]]=5,Tasks[[#This Row],[_ConstraintCode]]=7),Tasks[[#This Row],[_ConstraintStart]],2958465)</f>
        <v>2958465</v>
      </c>
      <c r="CJ1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0" s="89" t="str">
        <f aca="false">IF(NOT(Tasks[[#This Row],[_IsLeaf]]=1),"",IF(N(Tasks[[#This Row],[_Days]])&lt;=0,Tasks[[#This Row],[_LeafCalcStart]],WORKDAY.INTL(Tasks[[#This Row],[_LeafCalcStart]],Tasks[[#This Row],[_Days]]-1,WorkWeek,Holidays)))</f>
        <v/>
      </c>
      <c r="CL1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0" s="42" t="str">
        <f aca="false">IF(Tasks[[#This Row],[_Predecessors]]="","",TRIM(MID(SUBSTITUTE(SUBSTITUTE(SUBSTITUTE(UPPER(Tasks[[#This Row],[_Predecessors]]),";",",")," ",""),",",REPT(" ",99)),1,99)))</f>
        <v/>
      </c>
      <c r="CO130" s="42" t="str">
        <f aca="false">IF(Tasks[[#This Row],[_Pred1Text]]="","",IFERROR(VALUE(LEFT(Tasks[[#This Row],[_Pred1Text]],MIN(FIND("F",Tasks[[#This Row],[_Pred1Text]]&amp;"F"),FIND("S",Tasks[[#This Row],[_Pred1Text]]&amp;"S"),FIND("+",Tasks[[#This Row],[_Pred1Text]]&amp;"+"),FIND("-",Tasks[[#This Row],[_Pred1Text]]&amp;"-"))-1)),""))</f>
        <v/>
      </c>
      <c r="CP1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0" s="42" t="str">
        <f aca="false">IF(Tasks[[#This Row],[_Pred1Text]]="","",TRIM(MID(SUBSTITUTE(SUBSTITUTE(SUBSTITUTE(UPPER(Tasks[[#This Row],[_Predecessors]]),";",",")," ",""),",",REPT(" ",99)),100,99)))</f>
        <v/>
      </c>
      <c r="CS130" s="42" t="str">
        <f aca="false">IF(Tasks[[#This Row],[_Pred2Text]]="","",IFERROR(VALUE(LEFT(Tasks[[#This Row],[_Pred2Text]],MIN(FIND("F",Tasks[[#This Row],[_Pred2Text]]&amp;"F"),FIND("S",Tasks[[#This Row],[_Pred2Text]]&amp;"S"),FIND("+",Tasks[[#This Row],[_Pred2Text]]&amp;"+"),FIND("-",Tasks[[#This Row],[_Pred2Text]]&amp;"-"))-1)),""))</f>
        <v/>
      </c>
      <c r="CT1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0" s="42" t="str">
        <f aca="false">IF(Tasks[[#This Row],[_Pred2Text]]="","",TRIM(MID(SUBSTITUTE(SUBSTITUTE(SUBSTITUTE(UPPER(Tasks[[#This Row],[_Predecessors]]),";",",")," ",""),",",REPT(" ",99)),199,99)))</f>
        <v/>
      </c>
      <c r="CW130" s="42" t="str">
        <f aca="false">IF(Tasks[[#This Row],[_Pred3Text]]="","",IFERROR(VALUE(LEFT(Tasks[[#This Row],[_Pred3Text]],MIN(FIND("F",Tasks[[#This Row],[_Pred3Text]]&amp;"F"),FIND("S",Tasks[[#This Row],[_Pred3Text]]&amp;"S"),FIND("+",Tasks[[#This Row],[_Pred3Text]]&amp;"+"),FIND("-",Tasks[[#This Row],[_Pred3Text]]&amp;"-"))-1)),""))</f>
        <v/>
      </c>
      <c r="CX1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0" s="42" t="str">
        <f aca="false">IF(Tasks[[#This Row],[_Pred3Text]]="","",TRIM(MID(SUBSTITUTE(SUBSTITUTE(SUBSTITUTE(UPPER(Tasks[[#This Row],[_Predecessors]]),";",",")," ",""),",",REPT(" ",99)),298,99)))</f>
        <v/>
      </c>
      <c r="DA130" s="42" t="str">
        <f aca="false">IF(Tasks[[#This Row],[_Pred4Text]]="","",IFERROR(VALUE(LEFT(Tasks[[#This Row],[_Pred4Text]],MIN(FIND("F",Tasks[[#This Row],[_Pred4Text]]&amp;"F"),FIND("S",Tasks[[#This Row],[_Pred4Text]]&amp;"S"),FIND("+",Tasks[[#This Row],[_Pred4Text]]&amp;"+"),FIND("-",Tasks[[#This Row],[_Pred4Text]]&amp;"-"))-1)),""))</f>
        <v/>
      </c>
      <c r="DB1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0" s="42" t="str">
        <f aca="false">IF(OR(Tasks[[#This Row],[Task Name]]="",Tasks[[#This Row],[_Resources]]=""),"",TRIM(MID(SUBSTITUTE(Tasks[[#This Row],[_Resources]],",",REPT(" ",99)),1,99)))</f>
        <v/>
      </c>
      <c r="DE130" s="42" t="str">
        <f aca="false">IF(Tasks[[#This Row],[_Res1Text]]="","",TRIM(MID(SUBSTITUTE(Tasks[[#This Row],[_Resources]],",",REPT(" ",99)),100,99)))</f>
        <v/>
      </c>
      <c r="DF130" s="42" t="str">
        <f aca="false">IF(Tasks[[#This Row],[_Res2Text]]="","",TRIM(MID(SUBSTITUTE(Tasks[[#This Row],[_Resources]],",",REPT(" ",99)),199,99)))</f>
        <v/>
      </c>
      <c r="DG130" s="42" t="str">
        <f aca="false">IF(Tasks[[#This Row],[_Res3Text]]="","",TRIM(MID(SUBSTITUTE(Tasks[[#This Row],[_Resources]],",",REPT(" ",99)),298,99)))</f>
        <v/>
      </c>
      <c r="DH130" s="42" t="n">
        <f aca="false">IF(Tasks[[#This Row],[_Res1Text]]="",0,IFERROR(MATCH(TRIM(LEFT(Tasks[[#This Row],[_Res1Text]],FIND("[",Tasks[[#This Row],[_Res1Text]]&amp;"[")-1)),res_Name,0),IFERROR(MATCH(TRIM(LEFT(Tasks[[#This Row],[_Res1Text]],FIND("[",Tasks[[#This Row],[_Res1Text]]&amp;"[")-1)),res_Initials,0),0)))</f>
        <v>0</v>
      </c>
      <c r="DI130" s="42" t="n">
        <f aca="false">IF(Tasks[[#This Row],[_Res2Text]]="",0,IFERROR(MATCH(TRIM(LEFT(Tasks[[#This Row],[_Res2Text]],FIND("[",Tasks[[#This Row],[_Res2Text]]&amp;"[")-1)),res_Name,0),IFERROR(MATCH(TRIM(LEFT(Tasks[[#This Row],[_Res2Text]],FIND("[",Tasks[[#This Row],[_Res2Text]]&amp;"[")-1)),res_Initials,0),0)))</f>
        <v>0</v>
      </c>
      <c r="DJ130" s="42" t="n">
        <f aca="false">IF(Tasks[[#This Row],[_Res3Text]]="",0,IFERROR(MATCH(TRIM(LEFT(Tasks[[#This Row],[_Res3Text]],FIND("[",Tasks[[#This Row],[_Res3Text]]&amp;"[")-1)),res_Name,0),IFERROR(MATCH(TRIM(LEFT(Tasks[[#This Row],[_Res3Text]],FIND("[",Tasks[[#This Row],[_Res3Text]]&amp;"[")-1)),res_Initials,0),0)))</f>
        <v>0</v>
      </c>
      <c r="DK130" s="42" t="n">
        <f aca="false">IF(Tasks[[#This Row],[_Res4Text]]="",0,IFERROR(MATCH(TRIM(LEFT(Tasks[[#This Row],[_Res4Text]],FIND("[",Tasks[[#This Row],[_Res4Text]]&amp;"[")-1)),res_Name,0),IFERROR(MATCH(TRIM(LEFT(Tasks[[#This Row],[_Res4Text]],FIND("[",Tasks[[#This Row],[_Res4Text]]&amp;"[")-1)),res_Initials,0),0)))</f>
        <v>0</v>
      </c>
      <c r="DL130" s="42" t="str">
        <f aca="false">IF(Tasks[[#This Row],[_Res1Text]]="","",IF(Tasks[[#This Row],[_Res1Row]]&gt;0,INDEX(res_Name,Tasks[[#This Row],[_Res1Row]]),TRIM(LEFT(Tasks[[#This Row],[_Res1Text]],FIND("[",Tasks[[#This Row],[_Res1Text]]&amp;"[")-1))))</f>
        <v/>
      </c>
      <c r="DM1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0" s="42" t="n">
        <f aca="false">IF(NOT(Tasks[[#This Row],[_IsLeaf]]=1),0,(Tasks[[#This Row],[_Resource1]]&lt;&gt;"")+(Tasks[[#This Row],[_Res2]]&lt;&gt;"")+(Tasks[[#This Row],[_Res3]]&lt;&gt;"")+(Tasks[[#This Row],[_Res4]]&lt;&gt;""))</f>
        <v>0</v>
      </c>
      <c r="DO130" s="42" t="str">
        <f aca="false">IF(Tasks[[#This Row],[_Res2Text]]="","",IF(Tasks[[#This Row],[_Res2Row]]&gt;0,INDEX(res_Name,Tasks[[#This Row],[_Res2Row]]),TRIM(LEFT(Tasks[[#This Row],[_Res2Text]],FIND("[",Tasks[[#This Row],[_Res2Text]]&amp;"[")-1))))</f>
        <v/>
      </c>
      <c r="DP1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0" s="42" t="n">
        <f aca="false">IF(OR(NOT(Tasks[[#This Row],[_IsLeaf]]=1),Tasks[[#This Row],[_Res2Row]]=0),0,N(Tasks[[#This Row],[_Days]])*HoursPerDay*IF(Tasks[[#This Row],[_Res2Units]]="",DefaultUnits,Tasks[[#This Row],[_Res2Units]]))</f>
        <v>0</v>
      </c>
      <c r="DR130" s="42" t="n">
        <f aca="false">IF(AND(AND(Tasks[[#This Row],[_IsLeaf]]=1,Tasks[[#This Row],[_LeafTotalWork]]&gt;0),Tasks[[#This Row],[_Res2Work]]&gt;0),Tasks[[#This Row],[_Res2Work]]/(Tasks[[#This Row],[_FinishWorkday]]-Tasks[[#This Row],[_StartWorkday]]+1),0)</f>
        <v>0</v>
      </c>
      <c r="DS130" s="42" t="n">
        <f aca="false">Tasks[[#This Row],[_Res2WorkPerWD]]*MAX(0,Tasks[[#This Row],[_StartWorkday]]-1)</f>
        <v>0</v>
      </c>
      <c r="DT130" s="42" t="n">
        <f aca="false">Tasks[[#This Row],[_Res2Work]]*Tasks[[#This Row],[_LeafProgress]]</f>
        <v>0</v>
      </c>
      <c r="DU130" s="42" t="str">
        <f aca="false">IF(Tasks[[#This Row],[_Res3Text]]="","",IF(Tasks[[#This Row],[_Res3Row]]&gt;0,INDEX(res_Name,Tasks[[#This Row],[_Res3Row]]),TRIM(LEFT(Tasks[[#This Row],[_Res3Text]],FIND("[",Tasks[[#This Row],[_Res3Text]]&amp;"[")-1))))</f>
        <v/>
      </c>
      <c r="DV1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0" s="42" t="n">
        <f aca="false">IF(OR(NOT(Tasks[[#This Row],[_IsLeaf]]=1),Tasks[[#This Row],[_Res3Row]]=0),0,N(Tasks[[#This Row],[_Days]])*HoursPerDay*IF(Tasks[[#This Row],[_Res3Units]]="",DefaultUnits,Tasks[[#This Row],[_Res3Units]]))</f>
        <v>0</v>
      </c>
      <c r="DX130" s="42" t="n">
        <f aca="false">IF(AND(AND(Tasks[[#This Row],[_IsLeaf]]=1,Tasks[[#This Row],[_LeafTotalWork]]&gt;0),Tasks[[#This Row],[_Res3Work]]&gt;0),Tasks[[#This Row],[_Res3Work]]/(Tasks[[#This Row],[_FinishWorkday]]-Tasks[[#This Row],[_StartWorkday]]+1),0)</f>
        <v>0</v>
      </c>
      <c r="DY130" s="42" t="n">
        <f aca="false">Tasks[[#This Row],[_Res3WorkPerWD]]*MAX(0,Tasks[[#This Row],[_StartWorkday]]-1)</f>
        <v>0</v>
      </c>
      <c r="DZ130" s="42" t="n">
        <f aca="false">Tasks[[#This Row],[_Res3Work]]*Tasks[[#This Row],[_LeafProgress]]</f>
        <v>0</v>
      </c>
      <c r="EA130" s="42" t="str">
        <f aca="false">IF(Tasks[[#This Row],[_Res4Text]]="","",IF(Tasks[[#This Row],[_Res4Row]]&gt;0,INDEX(res_Name,Tasks[[#This Row],[_Res4Row]]),TRIM(LEFT(Tasks[[#This Row],[_Res4Text]],FIND("[",Tasks[[#This Row],[_Res4Text]]&amp;"[")-1))))</f>
        <v/>
      </c>
      <c r="EB1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0" s="42" t="n">
        <f aca="false">IF(OR(NOT(Tasks[[#This Row],[_IsLeaf]]=1),Tasks[[#This Row],[_Res4Row]]=0),0,N(Tasks[[#This Row],[_Days]])*HoursPerDay*IF(Tasks[[#This Row],[_Res4Units]]="",DefaultUnits,Tasks[[#This Row],[_Res4Units]]))</f>
        <v>0</v>
      </c>
      <c r="ED130" s="42" t="n">
        <f aca="false">IF(AND(AND(Tasks[[#This Row],[_IsLeaf]]=1,Tasks[[#This Row],[_LeafTotalWork]]&gt;0),Tasks[[#This Row],[_Res4Work]]&gt;0),Tasks[[#This Row],[_Res4Work]]/(Tasks[[#This Row],[_FinishWorkday]]-Tasks[[#This Row],[_StartWorkday]]+1),0)</f>
        <v>0</v>
      </c>
      <c r="EE130" s="42" t="n">
        <f aca="false">Tasks[[#This Row],[_Res4WorkPerWD]]*MAX(0,Tasks[[#This Row],[_StartWorkday]]-1)</f>
        <v>0</v>
      </c>
      <c r="EF130" s="42" t="n">
        <f aca="false">Tasks[[#This Row],[_Res4Work]]*Tasks[[#This Row],[_LeafProgress]]</f>
        <v>0</v>
      </c>
      <c r="EG130" s="42" t="n">
        <f aca="false">IF(ISNUMBER(Tasks[[#This Row],[% Complete]]),Tasks[[#This Row],[% Complete]],IF(Tasks[[#This Row],[Stage]]="",0,IFERROR(INDEX(stg_Pct,MATCH(Tasks[[#This Row],[Stage]],stg_Name,0)),0)))</f>
        <v>0</v>
      </c>
      <c r="EH130" s="42" t="n">
        <f aca="false">IF(NOT(Tasks[[#This Row],[_IsLeaf]]=1),0,IF(N(Tasks[[#This Row],[Actual Finish]])&gt;0,1,MIN(1,Tasks[[#This Row],[_Pct]])))</f>
        <v>0</v>
      </c>
      <c r="EI130" s="42" t="n">
        <f aca="false">IF(OR(NOT(Tasks[[#This Row],[_IsLeaf]]=1),Tasks[[#This Row],[_Res1Row]]=0),0,N(Tasks[[#This Row],[_Days]])*HoursPerDay*IF(Tasks[[#This Row],[_Units1]]="",DefaultUnits,Tasks[[#This Row],[_Units1]]))</f>
        <v>0</v>
      </c>
      <c r="EJ130" s="42" t="n">
        <f aca="false">Tasks[[#This Row],[_LeafWork]]+Tasks[[#This Row],[_Res2Work]]+Tasks[[#This Row],[_Res3Work]]+Tasks[[#This Row],[_Res4Work]]</f>
        <v>0</v>
      </c>
      <c r="EK1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0" s="42" t="n">
        <f aca="false">IF(NOT(Tasks[[#This Row],[_IsLeaf]]=1),0,MAX(_xlfn.MAXIFS(Tasks[_Row],Tasks[_Pred1UID],Tasks[[#This Row],[UID]]),_xlfn.MAXIFS(Tasks[_Row],Tasks[_Pred2UID],Tasks[[#This Row],[UID]]),_xlfn.MAXIFS(Tasks[_Row],Tasks[_Pred3UID],Tasks[[#This Row],[UID]]),_xlfn.MAXIFS(Tasks[_Row],Tasks[_Pred4UID],Tasks[[#This Row],[UID]])))</f>
        <v>0</v>
      </c>
      <c r="ET1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0" s="89" t="str">
        <f aca="false">IF(NOT(Tasks[[#This Row],[_IsLeaf]]=1),"",IF(N(Tasks[[#This Row],[_Days]])&lt;=0,Tasks[[#This Row],[_LeafLateFinish]],WORKDAY.INTL(Tasks[[#This Row],[_LeafLateFinish]],-(Tasks[[#This Row],[_Days]]-1),WorkWeek,Holidays)))</f>
        <v/>
      </c>
      <c r="EW1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0" s="88" t="b">
        <f aca="false">AND(Tasks[[#This Row],[_IsLeaf]]=1,Tasks[[#This Row],[_LeafProgress]]&lt;1,N(Tasks[[#This Row],[_LeafTotalSlack]])&lt;=CriticalSlackDays)</f>
        <v>0</v>
      </c>
      <c r="EY130" s="42" t="n">
        <f aca="false">IF(AND(Tasks[[#This Row],[_IsLeaf]]=1,Tasks[[#This Row],[_ConstraintCode]]=1,Tasks[[#This Row],[Mode]]&lt;&gt;"Manual",N(Tasks[[#This Row],[Actual Start]])=0),MAX(0,N(Tasks[[#This Row],[Free Slack]])),0)</f>
        <v>0</v>
      </c>
      <c r="EZ130" s="89" t="str">
        <f aca="false">IF(NOT(Tasks[[#This Row],[_IsLeaf]]=1),"",IF(Tasks[[#This Row],[_AlapShift]]=0,Tasks[[#This Row],[_LeafCalcStart]],WORKDAY.INTL(Tasks[[#This Row],[_LeafCalcStart]],Tasks[[#This Row],[_AlapShift]],WorkWeek,Holidays)))</f>
        <v/>
      </c>
      <c r="FA130" s="89" t="str">
        <f aca="false">IF(NOT(Tasks[[#This Row],[_IsLeaf]]=1),"",IF(Tasks[[#This Row],[_AlapShift]]=0,Tasks[[#This Row],[_LeafCalcFinish]],WORKDAY.INTL(Tasks[[#This Row],[_LeafCalcFinish]],Tasks[[#This Row],[_AlapShift]],WorkWeek,Holidays)))</f>
        <v/>
      </c>
      <c r="FB130" s="89" t="str">
        <f aca="false">IF(NOT(Tasks[[#This Row],[_IsLeaf]]=1),"",IF(Tasks[[#This Row],[_AlapShift]]=0,Tasks[[#This Row],[_LeafFcstStart]],WORKDAY.INTL(Tasks[[#This Row],[_LeafFcstStart]],Tasks[[#This Row],[_AlapShift]],WorkWeek,Holidays)))</f>
        <v/>
      </c>
      <c r="FC130" s="89" t="str">
        <f aca="false">IF(NOT(Tasks[[#This Row],[_IsLeaf]]=1),"",IF(Tasks[[#This Row],[_AlapShift]]=0,Tasks[[#This Row],[_LeafFcstFinish]],WORKDAY.INTL(Tasks[[#This Row],[_LeafFcstFinish]],Tasks[[#This Row],[_AlapShift]],WorkWeek,Holidays)))</f>
        <v/>
      </c>
      <c r="FD130" s="89" t="str">
        <f aca="false">IF(Tasks[[#This Row],[Task Name]]="","",IF(Tasks[[#This Row],[_IsSummary]],MIN(INDEX(Tasks[_ShownCalcStart],Tasks[[#This Row],[_Row]]+1):INDEX(Tasks[_ShownCalcStart],Tasks[[#This Row],[_Row]]+Tasks[[#This Row],[_Descendants]])),Tasks[[#This Row],[_ShownCalcStart]]))</f>
        <v/>
      </c>
      <c r="FE130" s="89" t="str">
        <f aca="false">IF(Tasks[[#This Row],[Task Name]]="","",IF(Tasks[[#This Row],[_IsSummary]],MAX(INDEX(Tasks[_ShownCalcFinish],Tasks[[#This Row],[_Row]]+1):INDEX(Tasks[_ShownCalcFinish],Tasks[[#This Row],[_Row]]+Tasks[[#This Row],[_Descendants]])),Tasks[[#This Row],[_ShownCalcFinish]]))</f>
        <v/>
      </c>
      <c r="FF1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0" s="42" t="n">
        <f aca="false">IF(AND(Tasks[[#This Row],[_IsLeaf]]=1,Tasks[[#This Row],[_LeafTotalWork]]&gt;0),NETWORKDAYS.INTL(ProjectStart,Tasks[[#This Row],[_ShownFcstStart]],WorkWeek,Holidays),0)</f>
        <v>0</v>
      </c>
      <c r="FS130" s="42" t="n">
        <f aca="false">IF(AND(Tasks[[#This Row],[_IsLeaf]]=1,Tasks[[#This Row],[_LeafTotalWork]]&gt;0),MAX(Tasks[[#This Row],[_StartWorkday]],NETWORKDAYS.INTL(ProjectStart,Tasks[[#This Row],[_ShownFcstFinish]],WorkWeek,Holidays)),0)</f>
        <v>0</v>
      </c>
      <c r="FT130" s="42" t="n">
        <f aca="false">IF(AND(Tasks[[#This Row],[_IsLeaf]]=1,Tasks[[#This Row],[_LeafTotalWork]]&gt;0),Tasks[[#This Row],[_LeafWork]]/(Tasks[[#This Row],[_FinishWorkday]]-Tasks[[#This Row],[_StartWorkday]]+1),0)</f>
        <v>0</v>
      </c>
      <c r="FU130" s="42" t="n">
        <f aca="false">Tasks[[#This Row],[_WorkPerWorkday]]*(Tasks[[#This Row],[_StartWorkday]]-1)</f>
        <v>-0</v>
      </c>
      <c r="FV130" s="42" t="n">
        <f aca="false">IF(Tasks[[#This Row],[_IsLeaf]]=1,MAX(N(Tasks[[#This Row],[_Days]]),0.1),0)</f>
        <v>0</v>
      </c>
      <c r="FW130" s="42" t="n">
        <f aca="false">Tasks[[#This Row],[_WeightDur]]*Tasks[[#This Row],[_LeafProgress]]</f>
        <v>0</v>
      </c>
      <c r="FX130" s="42" t="n">
        <f aca="false">Tasks[[#This Row],[_WeightDur]]*Tasks[[#This Row],[_PlannedPct]]</f>
        <v>0</v>
      </c>
      <c r="FY1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0" s="42" t="str">
        <f aca="false">IF(AND(Tasks[[#This Row],[_IsLeaf]]=1,N(Tasks[[#This Row],[_Days]])=0,Tasks[[#This Row],[_LeafProgress]]&lt;1),Tasks[[#This Row],[_ShownFcstFinish]]+Tasks[[#This Row],[_Row]]/100000,"")</f>
        <v/>
      </c>
      <c r="GA1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0" s="42" t="str">
        <f aca="false">IF(Tasks[[#This Row],[Task Name]]="","",LEFT(Tasks[[#This Row],[WBS]],FIND(".",Tasks[[#This Row],[WBS]]&amp;".")-1))</f>
        <v/>
      </c>
      <c r="GC130" s="42" t="str">
        <f aca="false">IF(AND(Tasks[[#This Row],[Task Name]]&lt;&gt;"",Tasks[[#This Row],[_Level]]=1),Tasks[[#This Row],[_Row]],"")</f>
        <v/>
      </c>
      <c r="GD130" s="42" t="str">
        <f aca="false">IF(AND(Tasks[[#This Row],[_IsLeaf]]=1,N(Tasks[[#This Row],[_Days]])=0),Tasks[[#This Row],[Planned Finish]]+Tasks[[#This Row],[_Row]]/100000,"")</f>
        <v/>
      </c>
      <c r="GE130" s="42" t="str">
        <f aca="false">IF(AND(Tasks[[#This Row],[_IsLeaf]]=1,Tasks[[#This Row],[_LeafProgress]]&lt;1,OR(N(Tasks[[#This Row],[Finish Var]])&gt;0,Tasks[[#This Row],[Status]]="Late Start")),MAX(0,Tasks[[#This Row],[Finish Var]])+1-Tasks[[#This Row],[_Row]]/1000000,"")</f>
        <v/>
      </c>
      <c r="GF130" s="42" t="str">
        <f aca="false">IF(AND(Tasks[[#This Row],[_IsLeaf]]=1,N(Tasks[[#This Row],[Actual Start]])=0,Tasks[[#This Row],[_ShownFcstStart]]&gt;=StatusDate,Tasks[[#This Row],[_ShownFcstStart]]&lt;=LookaheadEnd),Tasks[[#This Row],[_ShownFcstStart]]+Tasks[[#This Row],[_Row]]/100000,"")</f>
        <v/>
      </c>
      <c r="GG130" s="42" t="str">
        <f aca="false">IF(AND(Tasks[[#This Row],[_IsLeaf]]=1,Tasks[[#This Row],[_LeafProgress]]&lt;1,Tasks[[#This Row],[_ShownFcstFinish]]&gt;=StatusDate,Tasks[[#This Row],[_ShownFcstFinish]]&lt;=LookaheadEnd),Tasks[[#This Row],[_ShownFcstFinish]]+Tasks[[#This Row],[_Row]]/100000,"")</f>
        <v/>
      </c>
      <c r="GH130" s="42" t="str">
        <f aca="false">IF(Tasks[[#This Row],[_LeafCritical]],Tasks[[#This Row],[_ShownFcstStart]]+Tasks[[#This Row],[_Row]]/100000,"")</f>
        <v/>
      </c>
      <c r="GI130" s="42" t="n">
        <f aca="false">Tasks[[#This Row],[_LeafWork]]*Tasks[[#This Row],[_LeafProgress]]</f>
        <v>0</v>
      </c>
      <c r="GJ130" s="89" t="str">
        <f aca="false">IF(AND(Tasks[[#This Row],[_IsLeaf]]=1,Tasks[[#This Row],[_LeafProgress]]&gt;=1),IF(N(Tasks[[#This Row],[Actual Finish]])&gt;0,Tasks[[#This Row],[Actual Finish]],Tasks[[#This Row],[_ShownFcstFinish]]),"")</f>
        <v/>
      </c>
      <c r="GK130" s="42" t="n">
        <f aca="false">IF(Tasks[[#This Row],[_IsLeaf]]=1,N(Tasks[[#This Row],[Story Points]]),0)</f>
        <v>0</v>
      </c>
      <c r="GL130" s="42" t="str">
        <f aca="false">""</f>
        <v/>
      </c>
      <c r="GM130" s="88" t="b">
        <f aca="false">IF(Tasks[[#This Row],[Task Name]]="",FALSE(),AND(Tasks[[#This Row],[_IsLeaf]]=1,N(Tasks[[#This Row],[_Days]])=0))</f>
        <v>0</v>
      </c>
      <c r="GN130" s="89" t="n">
        <f aca="false">IF(Tasks[[#This Row],[Task Name]]="",0,IF(AND(Tasks[[#This Row],[_IsLeaf]]=1,NOT(Tasks[[#This Row],[_IsMilestone]]),N(Tasks[[#This Row],[Progress]])&gt;0),Tasks[[#This Row],[Start]],0))</f>
        <v>0</v>
      </c>
      <c r="GO130" s="89" t="n">
        <f aca="false">IF(Tasks[[#This Row],[_DoneFrom]]=0,0,IF(Tasks[[#This Row],[Progress]]&gt;=1,Tasks[[#This Row],[Finish]],MAX(Tasks[[#This Row],[_DoneFrom]],Tasks[[#This Row],[Start]]+ROUND((Tasks[[#This Row],[Finish]]-Tasks[[#This Row],[Start]]+1)*Tasks[[#This Row],[Progress]],0)-1)))</f>
        <v>0</v>
      </c>
      <c r="GP130" s="89" t="n">
        <f aca="false">IF(Tasks[[#This Row],[Task Name]]="",0,IF(OR(NOT(Tasks[[#This Row],[_IsLeaf]]=1),Tasks[[#This Row],[_IsMilestone]],N(Tasks[[#This Row],[Progress]])&gt;=1),0,IF(Tasks[[#This Row],[_DoneTo]]&gt;0,Tasks[[#This Row],[_DoneTo]]+1,Tasks[[#This Row],[Start]])))</f>
        <v>0</v>
      </c>
      <c r="GQ130" s="89" t="n">
        <f aca="false">IF(Tasks[[#This Row],[_RemFrom]]=0,0,Tasks[[#This Row],[Finish]])</f>
        <v>0</v>
      </c>
      <c r="GR130" s="88" t="b">
        <f aca="false">IF(Tasks[[#This Row],[Task Name]]="",FALSE(),OR(NOT(BaselineSet),N(Tasks[[#This Row],[Baseline Start]])&gt;0))</f>
        <v>0</v>
      </c>
      <c r="GS1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0" s="90" t="str">
        <f aca="false">IF(Tasks[[#This Row],[_IsLeaf]]=1,Tasks[[#This Row],[_Row]],"")</f>
        <v/>
      </c>
      <c r="GW130" s="90" t="str">
        <f aca="false">IFERROR(INDEX(Tasks[UID],SMALL(Tasks[_PickKey],Tasks[[#This Row],[_Row]]))&amp;" "&amp;INDEX(Tasks[Task Name],SMALL(Tasks[_PickKey],Tasks[[#This Row],[_Row]])),"")</f>
        <v/>
      </c>
      <c r="GX130" s="42" t="str">
        <f aca="false">IF(Tasks[[#This Row],[Task Name]]="","",IF(Tasks[[#This Row],[_IsSummary]],NETWORKDAYS.INTL(Tasks[[#This Row],[Start]],Tasks[[#This Row],[Finish]],WorkWeek,Holidays),N(Tasks[[#This Row],[_Days]])))</f>
        <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3"/>
      <c r="U131" s="23"/>
      <c r="V131" s="83"/>
      <c r="W131" s="23"/>
      <c r="X131" s="83"/>
      <c r="Y131" s="23"/>
      <c r="Z131" s="83"/>
      <c r="AA131" s="23"/>
      <c r="AB131" s="23"/>
      <c r="AC131" s="7"/>
      <c r="AD131" s="7"/>
      <c r="AE131" s="62" t="str">
        <f aca="false">IF(Tasks[[#This Row],[Task Name]]="","",IF(Tasks[[#This Row],[_IsSummary]],MIN(INDEX(Tasks[_ShownFcstStart],Tasks[[#This Row],[_Row]]+1):INDEX(Tasks[_ShownFcstStart],Tasks[[#This Row],[_Row]]+Tasks[[#This Row],[_Descendants]])),Tasks[[#This Row],[_ShownFcstStart]]))</f>
        <v/>
      </c>
      <c r="AF131" s="62"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1" s="7"/>
      <c r="AK131" s="22"/>
      <c r="AL131" s="23"/>
      <c r="AM131" s="7"/>
      <c r="AN131" s="46"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2" t="str">
        <f aca="false">IF(Tasks[[#This Row],[Task Name]]="","",IF(N(Tasks[[#This Row],[Baseline Start]])&gt;0,Tasks[[#This Row],[Baseline Start]],Tasks[[#This Row],[_CalcStart]]))</f>
        <v/>
      </c>
      <c r="AR131" s="62" t="str">
        <f aca="false">IF(Tasks[[#This Row],[Task Name]]="","",IF(N(Tasks[[#This Row],[Baseline Finish]])&gt;0,Tasks[[#This Row],[Baseline Finish]],Tasks[[#This Row],[_CalcFinish]]))</f>
        <v/>
      </c>
      <c r="AS131" s="46" t="str">
        <f aca="false">IF(Tasks[[#This Row],[Task Name]]="","",IF(Tasks[[#This Row],[Start]]&gt;=Tasks[[#This Row],[Planned Start]],NETWORKDAYS.INTL(Tasks[[#This Row],[Planned Start]],Tasks[[#This Row],[Start]],WorkWeek,Holidays)-1,1-NETWORKDAYS.INTL(Tasks[[#This Row],[Start]],Tasks[[#This Row],[Planned Start]],WorkWeek,Holidays)))</f>
        <v/>
      </c>
      <c r="AT131" s="62" t="str">
        <f aca="false">IF(Tasks[[#This Row],[Task Name]]="","",IF(Tasks[[#This Row],[_IsSummary]],MIN(INDEX(Tasks[_LeafLateStart],Tasks[[#This Row],[_Row]]+1):INDEX(Tasks[_LeafLateStart],Tasks[[#This Row],[_Row]]+Tasks[[#This Row],[_Descendants]])),Tasks[[#This Row],[_LeafLateStart]]))</f>
        <v/>
      </c>
      <c r="AU131" s="62" t="str">
        <f aca="false">IF(Tasks[[#This Row],[Task Name]]="","",IF(Tasks[[#This Row],[_IsSummary]],MAX(INDEX(Tasks[_LeafLateFinish],Tasks[[#This Row],[_Row]]+1):INDEX(Tasks[_LeafLateFinish],Tasks[[#This Row],[_Row]]+Tasks[[#This Row],[_Descendants]])),Tasks[[#This Row],[_LeafLateFinish]]))</f>
        <v/>
      </c>
      <c r="AV131" s="46"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4"/>
      <c r="BA1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5"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6"/>
      <c r="BJ131" s="22"/>
      <c r="BK131" s="46" t="str">
        <f aca="false">IF(OR(Tasks[[#This Row],[Task Name]]="",Tasks[[#This Row],[Baseline Duration]]=""),"",Tasks[[#This Row],[_SpanDays]]-N(Tasks[[#This Row],[Baseline Duration]]))</f>
        <v/>
      </c>
      <c r="BL131" s="85" t="str">
        <f aca="false">IF(OR(Tasks[[#This Row],[Task Name]]="",Tasks[[#This Row],[Baseline Work]]=""),"",Tasks[[#This Row],[Work]]-N(Tasks[[#This Row],[Baseline Work]]))</f>
        <v/>
      </c>
      <c r="BM131" s="62" t="str">
        <f aca="false">IF(Tasks[[#This Row],[Task Name]]="","",IF(OR(TakeBaseline="Yes",N(Tasks[[#This Row],[Baseline Start]])=0),Tasks[[#This Row],[Start]],Tasks[[#This Row],[Baseline Start]]))</f>
        <v/>
      </c>
      <c r="BN131" s="62"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5" t="str">
        <f aca="false">IF(Tasks[[#This Row],[Task Name]]="","",IF(OR(TakeBaseline="Yes",N(Tasks[[#This Row],[Baseline Work]])=0),Tasks[[#This Row],[Work]],Tasks[[#This Row],[Baseline Work]]))</f>
        <v/>
      </c>
      <c r="BQ131" s="7"/>
      <c r="BR131" s="7"/>
      <c r="BS131" s="22"/>
      <c r="BT131" s="87"/>
      <c r="BU131" s="42" t="str">
        <f aca="false">IF(Tasks[[#This Row],[Task Name]]="","",MAX(1,N(Tasks[[#This Row],[Level]])))</f>
        <v/>
      </c>
      <c r="BV131" s="42" t="n">
        <f aca="false">ROW()-ROW(Tasks[[#Headers],[ID]])</f>
        <v>126</v>
      </c>
      <c r="BW131" s="42" t="n">
        <f aca="false">IF(OR(Tasks[[#This Row],[Task Name]]="",Tasks[[#This Row],[_Level]]&lt;=1),0,IFERROR(LOOKUP(2,1/(Tasks[[#Headers],[_Level]]:Tasks[[#This Row],[_Level]]=Tasks[[#This Row],[_Level]]-1),ROW(Tasks[[#Headers],[_Level]]:Tasks[[#This Row],[_Level]])),0))</f>
        <v>0</v>
      </c>
      <c r="BX131" s="42" t="n">
        <f aca="false">IFERROR(N(INDEX(Tasks[_Level],Tasks[[#This Row],[_Row]]+1)),0)</f>
        <v>0</v>
      </c>
      <c r="BY131" s="88" t="b">
        <f aca="false">AND(Tasks[[#This Row],[Task Name]]&lt;&gt;"",Tasks[[#This Row],[_NextLevel]]&gt;Tasks[[#This Row],[_Level]])</f>
        <v>0</v>
      </c>
      <c r="BZ131" s="42" t="n">
        <f aca="false">IF(Tasks[[#This Row],[_IsSummary]],COUNTIF(Tasks[WBS],Tasks[[#This Row],[WBS]]&amp;".*"),0)</f>
        <v>0</v>
      </c>
      <c r="CA131" s="42" t="n">
        <f aca="false">IF(AND(Tasks[[#This Row],[Task Name]]&lt;&gt;"",NOT(Tasks[[#This Row],[_IsSummary]])),1,0)</f>
        <v>0</v>
      </c>
      <c r="CB131" s="42" t="n">
        <f aca="false">IF(N(Tasks[[#This Row],[_Pred1UID]])=0,0,IFERROR(MATCH(Tasks[[#This Row],[_Pred1UID]],Tasks[UID],0),-1))</f>
        <v>0</v>
      </c>
      <c r="CC131" s="42" t="n">
        <f aca="false">IF(N(Tasks[[#This Row],[_Pred2UID]])=0,0,IFERROR(MATCH(Tasks[[#This Row],[_Pred2UID]],Tasks[UID],0),-1))</f>
        <v>0</v>
      </c>
      <c r="CD131" s="42" t="n">
        <f aca="false">IF(N(Tasks[[#This Row],[_Pred3UID]])=0,0,IFERROR(MATCH(Tasks[[#This Row],[_Pred3UID]],Tasks[UID],0),-1))</f>
        <v>0</v>
      </c>
      <c r="CE131" s="42" t="n">
        <f aca="false">IF(N(Tasks[[#This Row],[_Pred4UID]])=0,0,IFERROR(MATCH(Tasks[[#This Row],[_Pred4UID]],Tasks[UID],0),-1))</f>
        <v>0</v>
      </c>
      <c r="CF1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1" s="89" t="n">
        <f aca="false">IF(OR(Tasks[[#This Row],[_ConstraintCode]]=2,Tasks[[#This Row],[_ConstraintCode]]=3,Tasks[[#This Row],[_ConstraintCode]]=4,Tasks[[#This Row],[_ConstraintCode]]=6),Tasks[[#This Row],[_ConstraintStart]],0)</f>
        <v>0</v>
      </c>
      <c r="CI131" s="89" t="n">
        <f aca="false">IF(OR(Tasks[[#This Row],[_ConstraintCode]]=2,Tasks[[#This Row],[_ConstraintCode]]=3,Tasks[[#This Row],[_ConstraintCode]]=5,Tasks[[#This Row],[_ConstraintCode]]=7),Tasks[[#This Row],[_ConstraintStart]],2958465)</f>
        <v>2958465</v>
      </c>
      <c r="CJ1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1" s="89" t="str">
        <f aca="false">IF(NOT(Tasks[[#This Row],[_IsLeaf]]=1),"",IF(N(Tasks[[#This Row],[_Days]])&lt;=0,Tasks[[#This Row],[_LeafCalcStart]],WORKDAY.INTL(Tasks[[#This Row],[_LeafCalcStart]],Tasks[[#This Row],[_Days]]-1,WorkWeek,Holidays)))</f>
        <v/>
      </c>
      <c r="CL1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1" s="42" t="str">
        <f aca="false">IF(Tasks[[#This Row],[_Predecessors]]="","",TRIM(MID(SUBSTITUTE(SUBSTITUTE(SUBSTITUTE(UPPER(Tasks[[#This Row],[_Predecessors]]),";",",")," ",""),",",REPT(" ",99)),1,99)))</f>
        <v/>
      </c>
      <c r="CO131" s="42" t="str">
        <f aca="false">IF(Tasks[[#This Row],[_Pred1Text]]="","",IFERROR(VALUE(LEFT(Tasks[[#This Row],[_Pred1Text]],MIN(FIND("F",Tasks[[#This Row],[_Pred1Text]]&amp;"F"),FIND("S",Tasks[[#This Row],[_Pred1Text]]&amp;"S"),FIND("+",Tasks[[#This Row],[_Pred1Text]]&amp;"+"),FIND("-",Tasks[[#This Row],[_Pred1Text]]&amp;"-"))-1)),""))</f>
        <v/>
      </c>
      <c r="CP1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1" s="42" t="str">
        <f aca="false">IF(Tasks[[#This Row],[_Pred1Text]]="","",TRIM(MID(SUBSTITUTE(SUBSTITUTE(SUBSTITUTE(UPPER(Tasks[[#This Row],[_Predecessors]]),";",",")," ",""),",",REPT(" ",99)),100,99)))</f>
        <v/>
      </c>
      <c r="CS131" s="42" t="str">
        <f aca="false">IF(Tasks[[#This Row],[_Pred2Text]]="","",IFERROR(VALUE(LEFT(Tasks[[#This Row],[_Pred2Text]],MIN(FIND("F",Tasks[[#This Row],[_Pred2Text]]&amp;"F"),FIND("S",Tasks[[#This Row],[_Pred2Text]]&amp;"S"),FIND("+",Tasks[[#This Row],[_Pred2Text]]&amp;"+"),FIND("-",Tasks[[#This Row],[_Pred2Text]]&amp;"-"))-1)),""))</f>
        <v/>
      </c>
      <c r="CT1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1" s="42" t="str">
        <f aca="false">IF(Tasks[[#This Row],[_Pred2Text]]="","",TRIM(MID(SUBSTITUTE(SUBSTITUTE(SUBSTITUTE(UPPER(Tasks[[#This Row],[_Predecessors]]),";",",")," ",""),",",REPT(" ",99)),199,99)))</f>
        <v/>
      </c>
      <c r="CW131" s="42" t="str">
        <f aca="false">IF(Tasks[[#This Row],[_Pred3Text]]="","",IFERROR(VALUE(LEFT(Tasks[[#This Row],[_Pred3Text]],MIN(FIND("F",Tasks[[#This Row],[_Pred3Text]]&amp;"F"),FIND("S",Tasks[[#This Row],[_Pred3Text]]&amp;"S"),FIND("+",Tasks[[#This Row],[_Pred3Text]]&amp;"+"),FIND("-",Tasks[[#This Row],[_Pred3Text]]&amp;"-"))-1)),""))</f>
        <v/>
      </c>
      <c r="CX1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1" s="42" t="str">
        <f aca="false">IF(Tasks[[#This Row],[_Pred3Text]]="","",TRIM(MID(SUBSTITUTE(SUBSTITUTE(SUBSTITUTE(UPPER(Tasks[[#This Row],[_Predecessors]]),";",",")," ",""),",",REPT(" ",99)),298,99)))</f>
        <v/>
      </c>
      <c r="DA131" s="42" t="str">
        <f aca="false">IF(Tasks[[#This Row],[_Pred4Text]]="","",IFERROR(VALUE(LEFT(Tasks[[#This Row],[_Pred4Text]],MIN(FIND("F",Tasks[[#This Row],[_Pred4Text]]&amp;"F"),FIND("S",Tasks[[#This Row],[_Pred4Text]]&amp;"S"),FIND("+",Tasks[[#This Row],[_Pred4Text]]&amp;"+"),FIND("-",Tasks[[#This Row],[_Pred4Text]]&amp;"-"))-1)),""))</f>
        <v/>
      </c>
      <c r="DB1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1" s="42" t="str">
        <f aca="false">IF(OR(Tasks[[#This Row],[Task Name]]="",Tasks[[#This Row],[_Resources]]=""),"",TRIM(MID(SUBSTITUTE(Tasks[[#This Row],[_Resources]],",",REPT(" ",99)),1,99)))</f>
        <v/>
      </c>
      <c r="DE131" s="42" t="str">
        <f aca="false">IF(Tasks[[#This Row],[_Res1Text]]="","",TRIM(MID(SUBSTITUTE(Tasks[[#This Row],[_Resources]],",",REPT(" ",99)),100,99)))</f>
        <v/>
      </c>
      <c r="DF131" s="42" t="str">
        <f aca="false">IF(Tasks[[#This Row],[_Res2Text]]="","",TRIM(MID(SUBSTITUTE(Tasks[[#This Row],[_Resources]],",",REPT(" ",99)),199,99)))</f>
        <v/>
      </c>
      <c r="DG131" s="42" t="str">
        <f aca="false">IF(Tasks[[#This Row],[_Res3Text]]="","",TRIM(MID(SUBSTITUTE(Tasks[[#This Row],[_Resources]],",",REPT(" ",99)),298,99)))</f>
        <v/>
      </c>
      <c r="DH131" s="42" t="n">
        <f aca="false">IF(Tasks[[#This Row],[_Res1Text]]="",0,IFERROR(MATCH(TRIM(LEFT(Tasks[[#This Row],[_Res1Text]],FIND("[",Tasks[[#This Row],[_Res1Text]]&amp;"[")-1)),res_Name,0),IFERROR(MATCH(TRIM(LEFT(Tasks[[#This Row],[_Res1Text]],FIND("[",Tasks[[#This Row],[_Res1Text]]&amp;"[")-1)),res_Initials,0),0)))</f>
        <v>0</v>
      </c>
      <c r="DI131" s="42" t="n">
        <f aca="false">IF(Tasks[[#This Row],[_Res2Text]]="",0,IFERROR(MATCH(TRIM(LEFT(Tasks[[#This Row],[_Res2Text]],FIND("[",Tasks[[#This Row],[_Res2Text]]&amp;"[")-1)),res_Name,0),IFERROR(MATCH(TRIM(LEFT(Tasks[[#This Row],[_Res2Text]],FIND("[",Tasks[[#This Row],[_Res2Text]]&amp;"[")-1)),res_Initials,0),0)))</f>
        <v>0</v>
      </c>
      <c r="DJ131" s="42" t="n">
        <f aca="false">IF(Tasks[[#This Row],[_Res3Text]]="",0,IFERROR(MATCH(TRIM(LEFT(Tasks[[#This Row],[_Res3Text]],FIND("[",Tasks[[#This Row],[_Res3Text]]&amp;"[")-1)),res_Name,0),IFERROR(MATCH(TRIM(LEFT(Tasks[[#This Row],[_Res3Text]],FIND("[",Tasks[[#This Row],[_Res3Text]]&amp;"[")-1)),res_Initials,0),0)))</f>
        <v>0</v>
      </c>
      <c r="DK131" s="42" t="n">
        <f aca="false">IF(Tasks[[#This Row],[_Res4Text]]="",0,IFERROR(MATCH(TRIM(LEFT(Tasks[[#This Row],[_Res4Text]],FIND("[",Tasks[[#This Row],[_Res4Text]]&amp;"[")-1)),res_Name,0),IFERROR(MATCH(TRIM(LEFT(Tasks[[#This Row],[_Res4Text]],FIND("[",Tasks[[#This Row],[_Res4Text]]&amp;"[")-1)),res_Initials,0),0)))</f>
        <v>0</v>
      </c>
      <c r="DL131" s="42" t="str">
        <f aca="false">IF(Tasks[[#This Row],[_Res1Text]]="","",IF(Tasks[[#This Row],[_Res1Row]]&gt;0,INDEX(res_Name,Tasks[[#This Row],[_Res1Row]]),TRIM(LEFT(Tasks[[#This Row],[_Res1Text]],FIND("[",Tasks[[#This Row],[_Res1Text]]&amp;"[")-1))))</f>
        <v/>
      </c>
      <c r="DM1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1" s="42" t="n">
        <f aca="false">IF(NOT(Tasks[[#This Row],[_IsLeaf]]=1),0,(Tasks[[#This Row],[_Resource1]]&lt;&gt;"")+(Tasks[[#This Row],[_Res2]]&lt;&gt;"")+(Tasks[[#This Row],[_Res3]]&lt;&gt;"")+(Tasks[[#This Row],[_Res4]]&lt;&gt;""))</f>
        <v>0</v>
      </c>
      <c r="DO131" s="42" t="str">
        <f aca="false">IF(Tasks[[#This Row],[_Res2Text]]="","",IF(Tasks[[#This Row],[_Res2Row]]&gt;0,INDEX(res_Name,Tasks[[#This Row],[_Res2Row]]),TRIM(LEFT(Tasks[[#This Row],[_Res2Text]],FIND("[",Tasks[[#This Row],[_Res2Text]]&amp;"[")-1))))</f>
        <v/>
      </c>
      <c r="DP1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1" s="42" t="n">
        <f aca="false">IF(OR(NOT(Tasks[[#This Row],[_IsLeaf]]=1),Tasks[[#This Row],[_Res2Row]]=0),0,N(Tasks[[#This Row],[_Days]])*HoursPerDay*IF(Tasks[[#This Row],[_Res2Units]]="",DefaultUnits,Tasks[[#This Row],[_Res2Units]]))</f>
        <v>0</v>
      </c>
      <c r="DR131" s="42" t="n">
        <f aca="false">IF(AND(AND(Tasks[[#This Row],[_IsLeaf]]=1,Tasks[[#This Row],[_LeafTotalWork]]&gt;0),Tasks[[#This Row],[_Res2Work]]&gt;0),Tasks[[#This Row],[_Res2Work]]/(Tasks[[#This Row],[_FinishWorkday]]-Tasks[[#This Row],[_StartWorkday]]+1),0)</f>
        <v>0</v>
      </c>
      <c r="DS131" s="42" t="n">
        <f aca="false">Tasks[[#This Row],[_Res2WorkPerWD]]*MAX(0,Tasks[[#This Row],[_StartWorkday]]-1)</f>
        <v>0</v>
      </c>
      <c r="DT131" s="42" t="n">
        <f aca="false">Tasks[[#This Row],[_Res2Work]]*Tasks[[#This Row],[_LeafProgress]]</f>
        <v>0</v>
      </c>
      <c r="DU131" s="42" t="str">
        <f aca="false">IF(Tasks[[#This Row],[_Res3Text]]="","",IF(Tasks[[#This Row],[_Res3Row]]&gt;0,INDEX(res_Name,Tasks[[#This Row],[_Res3Row]]),TRIM(LEFT(Tasks[[#This Row],[_Res3Text]],FIND("[",Tasks[[#This Row],[_Res3Text]]&amp;"[")-1))))</f>
        <v/>
      </c>
      <c r="DV1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1" s="42" t="n">
        <f aca="false">IF(OR(NOT(Tasks[[#This Row],[_IsLeaf]]=1),Tasks[[#This Row],[_Res3Row]]=0),0,N(Tasks[[#This Row],[_Days]])*HoursPerDay*IF(Tasks[[#This Row],[_Res3Units]]="",DefaultUnits,Tasks[[#This Row],[_Res3Units]]))</f>
        <v>0</v>
      </c>
      <c r="DX131" s="42" t="n">
        <f aca="false">IF(AND(AND(Tasks[[#This Row],[_IsLeaf]]=1,Tasks[[#This Row],[_LeafTotalWork]]&gt;0),Tasks[[#This Row],[_Res3Work]]&gt;0),Tasks[[#This Row],[_Res3Work]]/(Tasks[[#This Row],[_FinishWorkday]]-Tasks[[#This Row],[_StartWorkday]]+1),0)</f>
        <v>0</v>
      </c>
      <c r="DY131" s="42" t="n">
        <f aca="false">Tasks[[#This Row],[_Res3WorkPerWD]]*MAX(0,Tasks[[#This Row],[_StartWorkday]]-1)</f>
        <v>0</v>
      </c>
      <c r="DZ131" s="42" t="n">
        <f aca="false">Tasks[[#This Row],[_Res3Work]]*Tasks[[#This Row],[_LeafProgress]]</f>
        <v>0</v>
      </c>
      <c r="EA131" s="42" t="str">
        <f aca="false">IF(Tasks[[#This Row],[_Res4Text]]="","",IF(Tasks[[#This Row],[_Res4Row]]&gt;0,INDEX(res_Name,Tasks[[#This Row],[_Res4Row]]),TRIM(LEFT(Tasks[[#This Row],[_Res4Text]],FIND("[",Tasks[[#This Row],[_Res4Text]]&amp;"[")-1))))</f>
        <v/>
      </c>
      <c r="EB1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1" s="42" t="n">
        <f aca="false">IF(OR(NOT(Tasks[[#This Row],[_IsLeaf]]=1),Tasks[[#This Row],[_Res4Row]]=0),0,N(Tasks[[#This Row],[_Days]])*HoursPerDay*IF(Tasks[[#This Row],[_Res4Units]]="",DefaultUnits,Tasks[[#This Row],[_Res4Units]]))</f>
        <v>0</v>
      </c>
      <c r="ED131" s="42" t="n">
        <f aca="false">IF(AND(AND(Tasks[[#This Row],[_IsLeaf]]=1,Tasks[[#This Row],[_LeafTotalWork]]&gt;0),Tasks[[#This Row],[_Res4Work]]&gt;0),Tasks[[#This Row],[_Res4Work]]/(Tasks[[#This Row],[_FinishWorkday]]-Tasks[[#This Row],[_StartWorkday]]+1),0)</f>
        <v>0</v>
      </c>
      <c r="EE131" s="42" t="n">
        <f aca="false">Tasks[[#This Row],[_Res4WorkPerWD]]*MAX(0,Tasks[[#This Row],[_StartWorkday]]-1)</f>
        <v>0</v>
      </c>
      <c r="EF131" s="42" t="n">
        <f aca="false">Tasks[[#This Row],[_Res4Work]]*Tasks[[#This Row],[_LeafProgress]]</f>
        <v>0</v>
      </c>
      <c r="EG131" s="42" t="n">
        <f aca="false">IF(ISNUMBER(Tasks[[#This Row],[% Complete]]),Tasks[[#This Row],[% Complete]],IF(Tasks[[#This Row],[Stage]]="",0,IFERROR(INDEX(stg_Pct,MATCH(Tasks[[#This Row],[Stage]],stg_Name,0)),0)))</f>
        <v>0</v>
      </c>
      <c r="EH131" s="42" t="n">
        <f aca="false">IF(NOT(Tasks[[#This Row],[_IsLeaf]]=1),0,IF(N(Tasks[[#This Row],[Actual Finish]])&gt;0,1,MIN(1,Tasks[[#This Row],[_Pct]])))</f>
        <v>0</v>
      </c>
      <c r="EI131" s="42" t="n">
        <f aca="false">IF(OR(NOT(Tasks[[#This Row],[_IsLeaf]]=1),Tasks[[#This Row],[_Res1Row]]=0),0,N(Tasks[[#This Row],[_Days]])*HoursPerDay*IF(Tasks[[#This Row],[_Units1]]="",DefaultUnits,Tasks[[#This Row],[_Units1]]))</f>
        <v>0</v>
      </c>
      <c r="EJ131" s="42" t="n">
        <f aca="false">Tasks[[#This Row],[_LeafWork]]+Tasks[[#This Row],[_Res2Work]]+Tasks[[#This Row],[_Res3Work]]+Tasks[[#This Row],[_Res4Work]]</f>
        <v>0</v>
      </c>
      <c r="EK1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1" s="42" t="n">
        <f aca="false">IF(NOT(Tasks[[#This Row],[_IsLeaf]]=1),0,MAX(_xlfn.MAXIFS(Tasks[_Row],Tasks[_Pred1UID],Tasks[[#This Row],[UID]]),_xlfn.MAXIFS(Tasks[_Row],Tasks[_Pred2UID],Tasks[[#This Row],[UID]]),_xlfn.MAXIFS(Tasks[_Row],Tasks[_Pred3UID],Tasks[[#This Row],[UID]]),_xlfn.MAXIFS(Tasks[_Row],Tasks[_Pred4UID],Tasks[[#This Row],[UID]])))</f>
        <v>0</v>
      </c>
      <c r="ET1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1" s="89" t="str">
        <f aca="false">IF(NOT(Tasks[[#This Row],[_IsLeaf]]=1),"",IF(N(Tasks[[#This Row],[_Days]])&lt;=0,Tasks[[#This Row],[_LeafLateFinish]],WORKDAY.INTL(Tasks[[#This Row],[_LeafLateFinish]],-(Tasks[[#This Row],[_Days]]-1),WorkWeek,Holidays)))</f>
        <v/>
      </c>
      <c r="EW1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1" s="88" t="b">
        <f aca="false">AND(Tasks[[#This Row],[_IsLeaf]]=1,Tasks[[#This Row],[_LeafProgress]]&lt;1,N(Tasks[[#This Row],[_LeafTotalSlack]])&lt;=CriticalSlackDays)</f>
        <v>0</v>
      </c>
      <c r="EY131" s="42" t="n">
        <f aca="false">IF(AND(Tasks[[#This Row],[_IsLeaf]]=1,Tasks[[#This Row],[_ConstraintCode]]=1,Tasks[[#This Row],[Mode]]&lt;&gt;"Manual",N(Tasks[[#This Row],[Actual Start]])=0),MAX(0,N(Tasks[[#This Row],[Free Slack]])),0)</f>
        <v>0</v>
      </c>
      <c r="EZ131" s="89" t="str">
        <f aca="false">IF(NOT(Tasks[[#This Row],[_IsLeaf]]=1),"",IF(Tasks[[#This Row],[_AlapShift]]=0,Tasks[[#This Row],[_LeafCalcStart]],WORKDAY.INTL(Tasks[[#This Row],[_LeafCalcStart]],Tasks[[#This Row],[_AlapShift]],WorkWeek,Holidays)))</f>
        <v/>
      </c>
      <c r="FA131" s="89" t="str">
        <f aca="false">IF(NOT(Tasks[[#This Row],[_IsLeaf]]=1),"",IF(Tasks[[#This Row],[_AlapShift]]=0,Tasks[[#This Row],[_LeafCalcFinish]],WORKDAY.INTL(Tasks[[#This Row],[_LeafCalcFinish]],Tasks[[#This Row],[_AlapShift]],WorkWeek,Holidays)))</f>
        <v/>
      </c>
      <c r="FB131" s="89" t="str">
        <f aca="false">IF(NOT(Tasks[[#This Row],[_IsLeaf]]=1),"",IF(Tasks[[#This Row],[_AlapShift]]=0,Tasks[[#This Row],[_LeafFcstStart]],WORKDAY.INTL(Tasks[[#This Row],[_LeafFcstStart]],Tasks[[#This Row],[_AlapShift]],WorkWeek,Holidays)))</f>
        <v/>
      </c>
      <c r="FC131" s="89" t="str">
        <f aca="false">IF(NOT(Tasks[[#This Row],[_IsLeaf]]=1),"",IF(Tasks[[#This Row],[_AlapShift]]=0,Tasks[[#This Row],[_LeafFcstFinish]],WORKDAY.INTL(Tasks[[#This Row],[_LeafFcstFinish]],Tasks[[#This Row],[_AlapShift]],WorkWeek,Holidays)))</f>
        <v/>
      </c>
      <c r="FD131" s="89" t="str">
        <f aca="false">IF(Tasks[[#This Row],[Task Name]]="","",IF(Tasks[[#This Row],[_IsSummary]],MIN(INDEX(Tasks[_ShownCalcStart],Tasks[[#This Row],[_Row]]+1):INDEX(Tasks[_ShownCalcStart],Tasks[[#This Row],[_Row]]+Tasks[[#This Row],[_Descendants]])),Tasks[[#This Row],[_ShownCalcStart]]))</f>
        <v/>
      </c>
      <c r="FE131" s="89" t="str">
        <f aca="false">IF(Tasks[[#This Row],[Task Name]]="","",IF(Tasks[[#This Row],[_IsSummary]],MAX(INDEX(Tasks[_ShownCalcFinish],Tasks[[#This Row],[_Row]]+1):INDEX(Tasks[_ShownCalcFinish],Tasks[[#This Row],[_Row]]+Tasks[[#This Row],[_Descendants]])),Tasks[[#This Row],[_ShownCalcFinish]]))</f>
        <v/>
      </c>
      <c r="FF1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1" s="42" t="n">
        <f aca="false">IF(AND(Tasks[[#This Row],[_IsLeaf]]=1,Tasks[[#This Row],[_LeafTotalWork]]&gt;0),NETWORKDAYS.INTL(ProjectStart,Tasks[[#This Row],[_ShownFcstStart]],WorkWeek,Holidays),0)</f>
        <v>0</v>
      </c>
      <c r="FS131" s="42" t="n">
        <f aca="false">IF(AND(Tasks[[#This Row],[_IsLeaf]]=1,Tasks[[#This Row],[_LeafTotalWork]]&gt;0),MAX(Tasks[[#This Row],[_StartWorkday]],NETWORKDAYS.INTL(ProjectStart,Tasks[[#This Row],[_ShownFcstFinish]],WorkWeek,Holidays)),0)</f>
        <v>0</v>
      </c>
      <c r="FT131" s="42" t="n">
        <f aca="false">IF(AND(Tasks[[#This Row],[_IsLeaf]]=1,Tasks[[#This Row],[_LeafTotalWork]]&gt;0),Tasks[[#This Row],[_LeafWork]]/(Tasks[[#This Row],[_FinishWorkday]]-Tasks[[#This Row],[_StartWorkday]]+1),0)</f>
        <v>0</v>
      </c>
      <c r="FU131" s="42" t="n">
        <f aca="false">Tasks[[#This Row],[_WorkPerWorkday]]*(Tasks[[#This Row],[_StartWorkday]]-1)</f>
        <v>-0</v>
      </c>
      <c r="FV131" s="42" t="n">
        <f aca="false">IF(Tasks[[#This Row],[_IsLeaf]]=1,MAX(N(Tasks[[#This Row],[_Days]]),0.1),0)</f>
        <v>0</v>
      </c>
      <c r="FW131" s="42" t="n">
        <f aca="false">Tasks[[#This Row],[_WeightDur]]*Tasks[[#This Row],[_LeafProgress]]</f>
        <v>0</v>
      </c>
      <c r="FX131" s="42" t="n">
        <f aca="false">Tasks[[#This Row],[_WeightDur]]*Tasks[[#This Row],[_PlannedPct]]</f>
        <v>0</v>
      </c>
      <c r="FY1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1" s="42" t="str">
        <f aca="false">IF(AND(Tasks[[#This Row],[_IsLeaf]]=1,N(Tasks[[#This Row],[_Days]])=0,Tasks[[#This Row],[_LeafProgress]]&lt;1),Tasks[[#This Row],[_ShownFcstFinish]]+Tasks[[#This Row],[_Row]]/100000,"")</f>
        <v/>
      </c>
      <c r="GA1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1" s="42" t="str">
        <f aca="false">IF(Tasks[[#This Row],[Task Name]]="","",LEFT(Tasks[[#This Row],[WBS]],FIND(".",Tasks[[#This Row],[WBS]]&amp;".")-1))</f>
        <v/>
      </c>
      <c r="GC131" s="42" t="str">
        <f aca="false">IF(AND(Tasks[[#This Row],[Task Name]]&lt;&gt;"",Tasks[[#This Row],[_Level]]=1),Tasks[[#This Row],[_Row]],"")</f>
        <v/>
      </c>
      <c r="GD131" s="42" t="str">
        <f aca="false">IF(AND(Tasks[[#This Row],[_IsLeaf]]=1,N(Tasks[[#This Row],[_Days]])=0),Tasks[[#This Row],[Planned Finish]]+Tasks[[#This Row],[_Row]]/100000,"")</f>
        <v/>
      </c>
      <c r="GE131" s="42" t="str">
        <f aca="false">IF(AND(Tasks[[#This Row],[_IsLeaf]]=1,Tasks[[#This Row],[_LeafProgress]]&lt;1,OR(N(Tasks[[#This Row],[Finish Var]])&gt;0,Tasks[[#This Row],[Status]]="Late Start")),MAX(0,Tasks[[#This Row],[Finish Var]])+1-Tasks[[#This Row],[_Row]]/1000000,"")</f>
        <v/>
      </c>
      <c r="GF131" s="42" t="str">
        <f aca="false">IF(AND(Tasks[[#This Row],[_IsLeaf]]=1,N(Tasks[[#This Row],[Actual Start]])=0,Tasks[[#This Row],[_ShownFcstStart]]&gt;=StatusDate,Tasks[[#This Row],[_ShownFcstStart]]&lt;=LookaheadEnd),Tasks[[#This Row],[_ShownFcstStart]]+Tasks[[#This Row],[_Row]]/100000,"")</f>
        <v/>
      </c>
      <c r="GG131" s="42" t="str">
        <f aca="false">IF(AND(Tasks[[#This Row],[_IsLeaf]]=1,Tasks[[#This Row],[_LeafProgress]]&lt;1,Tasks[[#This Row],[_ShownFcstFinish]]&gt;=StatusDate,Tasks[[#This Row],[_ShownFcstFinish]]&lt;=LookaheadEnd),Tasks[[#This Row],[_ShownFcstFinish]]+Tasks[[#This Row],[_Row]]/100000,"")</f>
        <v/>
      </c>
      <c r="GH131" s="42" t="str">
        <f aca="false">IF(Tasks[[#This Row],[_LeafCritical]],Tasks[[#This Row],[_ShownFcstStart]]+Tasks[[#This Row],[_Row]]/100000,"")</f>
        <v/>
      </c>
      <c r="GI131" s="42" t="n">
        <f aca="false">Tasks[[#This Row],[_LeafWork]]*Tasks[[#This Row],[_LeafProgress]]</f>
        <v>0</v>
      </c>
      <c r="GJ131" s="89" t="str">
        <f aca="false">IF(AND(Tasks[[#This Row],[_IsLeaf]]=1,Tasks[[#This Row],[_LeafProgress]]&gt;=1),IF(N(Tasks[[#This Row],[Actual Finish]])&gt;0,Tasks[[#This Row],[Actual Finish]],Tasks[[#This Row],[_ShownFcstFinish]]),"")</f>
        <v/>
      </c>
      <c r="GK131" s="42" t="n">
        <f aca="false">IF(Tasks[[#This Row],[_IsLeaf]]=1,N(Tasks[[#This Row],[Story Points]]),0)</f>
        <v>0</v>
      </c>
      <c r="GL131" s="42" t="str">
        <f aca="false">""</f>
        <v/>
      </c>
      <c r="GM131" s="88" t="b">
        <f aca="false">IF(Tasks[[#This Row],[Task Name]]="",FALSE(),AND(Tasks[[#This Row],[_IsLeaf]]=1,N(Tasks[[#This Row],[_Days]])=0))</f>
        <v>0</v>
      </c>
      <c r="GN131" s="89" t="n">
        <f aca="false">IF(Tasks[[#This Row],[Task Name]]="",0,IF(AND(Tasks[[#This Row],[_IsLeaf]]=1,NOT(Tasks[[#This Row],[_IsMilestone]]),N(Tasks[[#This Row],[Progress]])&gt;0),Tasks[[#This Row],[Start]],0))</f>
        <v>0</v>
      </c>
      <c r="GO131" s="89" t="n">
        <f aca="false">IF(Tasks[[#This Row],[_DoneFrom]]=0,0,IF(Tasks[[#This Row],[Progress]]&gt;=1,Tasks[[#This Row],[Finish]],MAX(Tasks[[#This Row],[_DoneFrom]],Tasks[[#This Row],[Start]]+ROUND((Tasks[[#This Row],[Finish]]-Tasks[[#This Row],[Start]]+1)*Tasks[[#This Row],[Progress]],0)-1)))</f>
        <v>0</v>
      </c>
      <c r="GP131" s="89" t="n">
        <f aca="false">IF(Tasks[[#This Row],[Task Name]]="",0,IF(OR(NOT(Tasks[[#This Row],[_IsLeaf]]=1),Tasks[[#This Row],[_IsMilestone]],N(Tasks[[#This Row],[Progress]])&gt;=1),0,IF(Tasks[[#This Row],[_DoneTo]]&gt;0,Tasks[[#This Row],[_DoneTo]]+1,Tasks[[#This Row],[Start]])))</f>
        <v>0</v>
      </c>
      <c r="GQ131" s="89" t="n">
        <f aca="false">IF(Tasks[[#This Row],[_RemFrom]]=0,0,Tasks[[#This Row],[Finish]])</f>
        <v>0</v>
      </c>
      <c r="GR131" s="88" t="b">
        <f aca="false">IF(Tasks[[#This Row],[Task Name]]="",FALSE(),OR(NOT(BaselineSet),N(Tasks[[#This Row],[Baseline Start]])&gt;0))</f>
        <v>0</v>
      </c>
      <c r="GS1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1" s="90" t="str">
        <f aca="false">IF(Tasks[[#This Row],[_IsLeaf]]=1,Tasks[[#This Row],[_Row]],"")</f>
        <v/>
      </c>
      <c r="GW131" s="90" t="str">
        <f aca="false">IFERROR(INDEX(Tasks[UID],SMALL(Tasks[_PickKey],Tasks[[#This Row],[_Row]]))&amp;" "&amp;INDEX(Tasks[Task Name],SMALL(Tasks[_PickKey],Tasks[[#This Row],[_Row]])),"")</f>
        <v/>
      </c>
      <c r="GX131" s="42" t="str">
        <f aca="false">IF(Tasks[[#This Row],[Task Name]]="","",IF(Tasks[[#This Row],[_IsSummary]],NETWORKDAYS.INTL(Tasks[[#This Row],[Start]],Tasks[[#This Row],[Finish]],WorkWeek,Holidays),N(Tasks[[#This Row],[_Days]])))</f>
        <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3"/>
      <c r="U132" s="23"/>
      <c r="V132" s="83"/>
      <c r="W132" s="23"/>
      <c r="X132" s="83"/>
      <c r="Y132" s="23"/>
      <c r="Z132" s="83"/>
      <c r="AA132" s="23"/>
      <c r="AB132" s="23"/>
      <c r="AC132" s="7"/>
      <c r="AD132" s="7"/>
      <c r="AE132" s="62" t="str">
        <f aca="false">IF(Tasks[[#This Row],[Task Name]]="","",IF(Tasks[[#This Row],[_IsSummary]],MIN(INDEX(Tasks[_ShownFcstStart],Tasks[[#This Row],[_Row]]+1):INDEX(Tasks[_ShownFcstStart],Tasks[[#This Row],[_Row]]+Tasks[[#This Row],[_Descendants]])),Tasks[[#This Row],[_ShownFcstStart]]))</f>
        <v/>
      </c>
      <c r="AF132" s="62"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2" s="7"/>
      <c r="AK132" s="22"/>
      <c r="AL132" s="23"/>
      <c r="AM132" s="7"/>
      <c r="AN132" s="46"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2" t="str">
        <f aca="false">IF(Tasks[[#This Row],[Task Name]]="","",IF(N(Tasks[[#This Row],[Baseline Start]])&gt;0,Tasks[[#This Row],[Baseline Start]],Tasks[[#This Row],[_CalcStart]]))</f>
        <v/>
      </c>
      <c r="AR132" s="62" t="str">
        <f aca="false">IF(Tasks[[#This Row],[Task Name]]="","",IF(N(Tasks[[#This Row],[Baseline Finish]])&gt;0,Tasks[[#This Row],[Baseline Finish]],Tasks[[#This Row],[_CalcFinish]]))</f>
        <v/>
      </c>
      <c r="AS132" s="46" t="str">
        <f aca="false">IF(Tasks[[#This Row],[Task Name]]="","",IF(Tasks[[#This Row],[Start]]&gt;=Tasks[[#This Row],[Planned Start]],NETWORKDAYS.INTL(Tasks[[#This Row],[Planned Start]],Tasks[[#This Row],[Start]],WorkWeek,Holidays)-1,1-NETWORKDAYS.INTL(Tasks[[#This Row],[Start]],Tasks[[#This Row],[Planned Start]],WorkWeek,Holidays)))</f>
        <v/>
      </c>
      <c r="AT132" s="62" t="str">
        <f aca="false">IF(Tasks[[#This Row],[Task Name]]="","",IF(Tasks[[#This Row],[_IsSummary]],MIN(INDEX(Tasks[_LeafLateStart],Tasks[[#This Row],[_Row]]+1):INDEX(Tasks[_LeafLateStart],Tasks[[#This Row],[_Row]]+Tasks[[#This Row],[_Descendants]])),Tasks[[#This Row],[_LeafLateStart]]))</f>
        <v/>
      </c>
      <c r="AU132" s="62" t="str">
        <f aca="false">IF(Tasks[[#This Row],[Task Name]]="","",IF(Tasks[[#This Row],[_IsSummary]],MAX(INDEX(Tasks[_LeafLateFinish],Tasks[[#This Row],[_Row]]+1):INDEX(Tasks[_LeafLateFinish],Tasks[[#This Row],[_Row]]+Tasks[[#This Row],[_Descendants]])),Tasks[[#This Row],[_LeafLateFinish]]))</f>
        <v/>
      </c>
      <c r="AV132" s="46"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4"/>
      <c r="BA1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5"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6"/>
      <c r="BJ132" s="22"/>
      <c r="BK132" s="46" t="str">
        <f aca="false">IF(OR(Tasks[[#This Row],[Task Name]]="",Tasks[[#This Row],[Baseline Duration]]=""),"",Tasks[[#This Row],[_SpanDays]]-N(Tasks[[#This Row],[Baseline Duration]]))</f>
        <v/>
      </c>
      <c r="BL132" s="85" t="str">
        <f aca="false">IF(OR(Tasks[[#This Row],[Task Name]]="",Tasks[[#This Row],[Baseline Work]]=""),"",Tasks[[#This Row],[Work]]-N(Tasks[[#This Row],[Baseline Work]]))</f>
        <v/>
      </c>
      <c r="BM132" s="62" t="str">
        <f aca="false">IF(Tasks[[#This Row],[Task Name]]="","",IF(OR(TakeBaseline="Yes",N(Tasks[[#This Row],[Baseline Start]])=0),Tasks[[#This Row],[Start]],Tasks[[#This Row],[Baseline Start]]))</f>
        <v/>
      </c>
      <c r="BN132" s="62"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5" t="str">
        <f aca="false">IF(Tasks[[#This Row],[Task Name]]="","",IF(OR(TakeBaseline="Yes",N(Tasks[[#This Row],[Baseline Work]])=0),Tasks[[#This Row],[Work]],Tasks[[#This Row],[Baseline Work]]))</f>
        <v/>
      </c>
      <c r="BQ132" s="7"/>
      <c r="BR132" s="7"/>
      <c r="BS132" s="22"/>
      <c r="BT132" s="87"/>
      <c r="BU132" s="42" t="str">
        <f aca="false">IF(Tasks[[#This Row],[Task Name]]="","",MAX(1,N(Tasks[[#This Row],[Level]])))</f>
        <v/>
      </c>
      <c r="BV132" s="42" t="n">
        <f aca="false">ROW()-ROW(Tasks[[#Headers],[ID]])</f>
        <v>127</v>
      </c>
      <c r="BW132" s="42" t="n">
        <f aca="false">IF(OR(Tasks[[#This Row],[Task Name]]="",Tasks[[#This Row],[_Level]]&lt;=1),0,IFERROR(LOOKUP(2,1/(Tasks[[#Headers],[_Level]]:Tasks[[#This Row],[_Level]]=Tasks[[#This Row],[_Level]]-1),ROW(Tasks[[#Headers],[_Level]]:Tasks[[#This Row],[_Level]])),0))</f>
        <v>0</v>
      </c>
      <c r="BX132" s="42" t="n">
        <f aca="false">IFERROR(N(INDEX(Tasks[_Level],Tasks[[#This Row],[_Row]]+1)),0)</f>
        <v>0</v>
      </c>
      <c r="BY132" s="88" t="b">
        <f aca="false">AND(Tasks[[#This Row],[Task Name]]&lt;&gt;"",Tasks[[#This Row],[_NextLevel]]&gt;Tasks[[#This Row],[_Level]])</f>
        <v>0</v>
      </c>
      <c r="BZ132" s="42" t="n">
        <f aca="false">IF(Tasks[[#This Row],[_IsSummary]],COUNTIF(Tasks[WBS],Tasks[[#This Row],[WBS]]&amp;".*"),0)</f>
        <v>0</v>
      </c>
      <c r="CA132" s="42" t="n">
        <f aca="false">IF(AND(Tasks[[#This Row],[Task Name]]&lt;&gt;"",NOT(Tasks[[#This Row],[_IsSummary]])),1,0)</f>
        <v>0</v>
      </c>
      <c r="CB132" s="42" t="n">
        <f aca="false">IF(N(Tasks[[#This Row],[_Pred1UID]])=0,0,IFERROR(MATCH(Tasks[[#This Row],[_Pred1UID]],Tasks[UID],0),-1))</f>
        <v>0</v>
      </c>
      <c r="CC132" s="42" t="n">
        <f aca="false">IF(N(Tasks[[#This Row],[_Pred2UID]])=0,0,IFERROR(MATCH(Tasks[[#This Row],[_Pred2UID]],Tasks[UID],0),-1))</f>
        <v>0</v>
      </c>
      <c r="CD132" s="42" t="n">
        <f aca="false">IF(N(Tasks[[#This Row],[_Pred3UID]])=0,0,IFERROR(MATCH(Tasks[[#This Row],[_Pred3UID]],Tasks[UID],0),-1))</f>
        <v>0</v>
      </c>
      <c r="CE132" s="42" t="n">
        <f aca="false">IF(N(Tasks[[#This Row],[_Pred4UID]])=0,0,IFERROR(MATCH(Tasks[[#This Row],[_Pred4UID]],Tasks[UID],0),-1))</f>
        <v>0</v>
      </c>
      <c r="CF1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2" s="89" t="n">
        <f aca="false">IF(OR(Tasks[[#This Row],[_ConstraintCode]]=2,Tasks[[#This Row],[_ConstraintCode]]=3,Tasks[[#This Row],[_ConstraintCode]]=4,Tasks[[#This Row],[_ConstraintCode]]=6),Tasks[[#This Row],[_ConstraintStart]],0)</f>
        <v>0</v>
      </c>
      <c r="CI132" s="89" t="n">
        <f aca="false">IF(OR(Tasks[[#This Row],[_ConstraintCode]]=2,Tasks[[#This Row],[_ConstraintCode]]=3,Tasks[[#This Row],[_ConstraintCode]]=5,Tasks[[#This Row],[_ConstraintCode]]=7),Tasks[[#This Row],[_ConstraintStart]],2958465)</f>
        <v>2958465</v>
      </c>
      <c r="CJ1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2" s="89" t="str">
        <f aca="false">IF(NOT(Tasks[[#This Row],[_IsLeaf]]=1),"",IF(N(Tasks[[#This Row],[_Days]])&lt;=0,Tasks[[#This Row],[_LeafCalcStart]],WORKDAY.INTL(Tasks[[#This Row],[_LeafCalcStart]],Tasks[[#This Row],[_Days]]-1,WorkWeek,Holidays)))</f>
        <v/>
      </c>
      <c r="CL1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2" s="42" t="str">
        <f aca="false">IF(Tasks[[#This Row],[_Predecessors]]="","",TRIM(MID(SUBSTITUTE(SUBSTITUTE(SUBSTITUTE(UPPER(Tasks[[#This Row],[_Predecessors]]),";",",")," ",""),",",REPT(" ",99)),1,99)))</f>
        <v/>
      </c>
      <c r="CO132" s="42" t="str">
        <f aca="false">IF(Tasks[[#This Row],[_Pred1Text]]="","",IFERROR(VALUE(LEFT(Tasks[[#This Row],[_Pred1Text]],MIN(FIND("F",Tasks[[#This Row],[_Pred1Text]]&amp;"F"),FIND("S",Tasks[[#This Row],[_Pred1Text]]&amp;"S"),FIND("+",Tasks[[#This Row],[_Pred1Text]]&amp;"+"),FIND("-",Tasks[[#This Row],[_Pred1Text]]&amp;"-"))-1)),""))</f>
        <v/>
      </c>
      <c r="CP1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2" s="42" t="str">
        <f aca="false">IF(Tasks[[#This Row],[_Pred1Text]]="","",TRIM(MID(SUBSTITUTE(SUBSTITUTE(SUBSTITUTE(UPPER(Tasks[[#This Row],[_Predecessors]]),";",",")," ",""),",",REPT(" ",99)),100,99)))</f>
        <v/>
      </c>
      <c r="CS132" s="42" t="str">
        <f aca="false">IF(Tasks[[#This Row],[_Pred2Text]]="","",IFERROR(VALUE(LEFT(Tasks[[#This Row],[_Pred2Text]],MIN(FIND("F",Tasks[[#This Row],[_Pred2Text]]&amp;"F"),FIND("S",Tasks[[#This Row],[_Pred2Text]]&amp;"S"),FIND("+",Tasks[[#This Row],[_Pred2Text]]&amp;"+"),FIND("-",Tasks[[#This Row],[_Pred2Text]]&amp;"-"))-1)),""))</f>
        <v/>
      </c>
      <c r="CT1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2" s="42" t="str">
        <f aca="false">IF(Tasks[[#This Row],[_Pred2Text]]="","",TRIM(MID(SUBSTITUTE(SUBSTITUTE(SUBSTITUTE(UPPER(Tasks[[#This Row],[_Predecessors]]),";",",")," ",""),",",REPT(" ",99)),199,99)))</f>
        <v/>
      </c>
      <c r="CW132" s="42" t="str">
        <f aca="false">IF(Tasks[[#This Row],[_Pred3Text]]="","",IFERROR(VALUE(LEFT(Tasks[[#This Row],[_Pred3Text]],MIN(FIND("F",Tasks[[#This Row],[_Pred3Text]]&amp;"F"),FIND("S",Tasks[[#This Row],[_Pred3Text]]&amp;"S"),FIND("+",Tasks[[#This Row],[_Pred3Text]]&amp;"+"),FIND("-",Tasks[[#This Row],[_Pred3Text]]&amp;"-"))-1)),""))</f>
        <v/>
      </c>
      <c r="CX1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2" s="42" t="str">
        <f aca="false">IF(Tasks[[#This Row],[_Pred3Text]]="","",TRIM(MID(SUBSTITUTE(SUBSTITUTE(SUBSTITUTE(UPPER(Tasks[[#This Row],[_Predecessors]]),";",",")," ",""),",",REPT(" ",99)),298,99)))</f>
        <v/>
      </c>
      <c r="DA132" s="42" t="str">
        <f aca="false">IF(Tasks[[#This Row],[_Pred4Text]]="","",IFERROR(VALUE(LEFT(Tasks[[#This Row],[_Pred4Text]],MIN(FIND("F",Tasks[[#This Row],[_Pred4Text]]&amp;"F"),FIND("S",Tasks[[#This Row],[_Pred4Text]]&amp;"S"),FIND("+",Tasks[[#This Row],[_Pred4Text]]&amp;"+"),FIND("-",Tasks[[#This Row],[_Pred4Text]]&amp;"-"))-1)),""))</f>
        <v/>
      </c>
      <c r="DB1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2" s="42" t="str">
        <f aca="false">IF(OR(Tasks[[#This Row],[Task Name]]="",Tasks[[#This Row],[_Resources]]=""),"",TRIM(MID(SUBSTITUTE(Tasks[[#This Row],[_Resources]],",",REPT(" ",99)),1,99)))</f>
        <v/>
      </c>
      <c r="DE132" s="42" t="str">
        <f aca="false">IF(Tasks[[#This Row],[_Res1Text]]="","",TRIM(MID(SUBSTITUTE(Tasks[[#This Row],[_Resources]],",",REPT(" ",99)),100,99)))</f>
        <v/>
      </c>
      <c r="DF132" s="42" t="str">
        <f aca="false">IF(Tasks[[#This Row],[_Res2Text]]="","",TRIM(MID(SUBSTITUTE(Tasks[[#This Row],[_Resources]],",",REPT(" ",99)),199,99)))</f>
        <v/>
      </c>
      <c r="DG132" s="42" t="str">
        <f aca="false">IF(Tasks[[#This Row],[_Res3Text]]="","",TRIM(MID(SUBSTITUTE(Tasks[[#This Row],[_Resources]],",",REPT(" ",99)),298,99)))</f>
        <v/>
      </c>
      <c r="DH132" s="42" t="n">
        <f aca="false">IF(Tasks[[#This Row],[_Res1Text]]="",0,IFERROR(MATCH(TRIM(LEFT(Tasks[[#This Row],[_Res1Text]],FIND("[",Tasks[[#This Row],[_Res1Text]]&amp;"[")-1)),res_Name,0),IFERROR(MATCH(TRIM(LEFT(Tasks[[#This Row],[_Res1Text]],FIND("[",Tasks[[#This Row],[_Res1Text]]&amp;"[")-1)),res_Initials,0),0)))</f>
        <v>0</v>
      </c>
      <c r="DI132" s="42" t="n">
        <f aca="false">IF(Tasks[[#This Row],[_Res2Text]]="",0,IFERROR(MATCH(TRIM(LEFT(Tasks[[#This Row],[_Res2Text]],FIND("[",Tasks[[#This Row],[_Res2Text]]&amp;"[")-1)),res_Name,0),IFERROR(MATCH(TRIM(LEFT(Tasks[[#This Row],[_Res2Text]],FIND("[",Tasks[[#This Row],[_Res2Text]]&amp;"[")-1)),res_Initials,0),0)))</f>
        <v>0</v>
      </c>
      <c r="DJ132" s="42" t="n">
        <f aca="false">IF(Tasks[[#This Row],[_Res3Text]]="",0,IFERROR(MATCH(TRIM(LEFT(Tasks[[#This Row],[_Res3Text]],FIND("[",Tasks[[#This Row],[_Res3Text]]&amp;"[")-1)),res_Name,0),IFERROR(MATCH(TRIM(LEFT(Tasks[[#This Row],[_Res3Text]],FIND("[",Tasks[[#This Row],[_Res3Text]]&amp;"[")-1)),res_Initials,0),0)))</f>
        <v>0</v>
      </c>
      <c r="DK132" s="42" t="n">
        <f aca="false">IF(Tasks[[#This Row],[_Res4Text]]="",0,IFERROR(MATCH(TRIM(LEFT(Tasks[[#This Row],[_Res4Text]],FIND("[",Tasks[[#This Row],[_Res4Text]]&amp;"[")-1)),res_Name,0),IFERROR(MATCH(TRIM(LEFT(Tasks[[#This Row],[_Res4Text]],FIND("[",Tasks[[#This Row],[_Res4Text]]&amp;"[")-1)),res_Initials,0),0)))</f>
        <v>0</v>
      </c>
      <c r="DL132" s="42" t="str">
        <f aca="false">IF(Tasks[[#This Row],[_Res1Text]]="","",IF(Tasks[[#This Row],[_Res1Row]]&gt;0,INDEX(res_Name,Tasks[[#This Row],[_Res1Row]]),TRIM(LEFT(Tasks[[#This Row],[_Res1Text]],FIND("[",Tasks[[#This Row],[_Res1Text]]&amp;"[")-1))))</f>
        <v/>
      </c>
      <c r="DM1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2" s="42" t="n">
        <f aca="false">IF(NOT(Tasks[[#This Row],[_IsLeaf]]=1),0,(Tasks[[#This Row],[_Resource1]]&lt;&gt;"")+(Tasks[[#This Row],[_Res2]]&lt;&gt;"")+(Tasks[[#This Row],[_Res3]]&lt;&gt;"")+(Tasks[[#This Row],[_Res4]]&lt;&gt;""))</f>
        <v>0</v>
      </c>
      <c r="DO132" s="42" t="str">
        <f aca="false">IF(Tasks[[#This Row],[_Res2Text]]="","",IF(Tasks[[#This Row],[_Res2Row]]&gt;0,INDEX(res_Name,Tasks[[#This Row],[_Res2Row]]),TRIM(LEFT(Tasks[[#This Row],[_Res2Text]],FIND("[",Tasks[[#This Row],[_Res2Text]]&amp;"[")-1))))</f>
        <v/>
      </c>
      <c r="DP1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2" s="42" t="n">
        <f aca="false">IF(OR(NOT(Tasks[[#This Row],[_IsLeaf]]=1),Tasks[[#This Row],[_Res2Row]]=0),0,N(Tasks[[#This Row],[_Days]])*HoursPerDay*IF(Tasks[[#This Row],[_Res2Units]]="",DefaultUnits,Tasks[[#This Row],[_Res2Units]]))</f>
        <v>0</v>
      </c>
      <c r="DR132" s="42" t="n">
        <f aca="false">IF(AND(AND(Tasks[[#This Row],[_IsLeaf]]=1,Tasks[[#This Row],[_LeafTotalWork]]&gt;0),Tasks[[#This Row],[_Res2Work]]&gt;0),Tasks[[#This Row],[_Res2Work]]/(Tasks[[#This Row],[_FinishWorkday]]-Tasks[[#This Row],[_StartWorkday]]+1),0)</f>
        <v>0</v>
      </c>
      <c r="DS132" s="42" t="n">
        <f aca="false">Tasks[[#This Row],[_Res2WorkPerWD]]*MAX(0,Tasks[[#This Row],[_StartWorkday]]-1)</f>
        <v>0</v>
      </c>
      <c r="DT132" s="42" t="n">
        <f aca="false">Tasks[[#This Row],[_Res2Work]]*Tasks[[#This Row],[_LeafProgress]]</f>
        <v>0</v>
      </c>
      <c r="DU132" s="42" t="str">
        <f aca="false">IF(Tasks[[#This Row],[_Res3Text]]="","",IF(Tasks[[#This Row],[_Res3Row]]&gt;0,INDEX(res_Name,Tasks[[#This Row],[_Res3Row]]),TRIM(LEFT(Tasks[[#This Row],[_Res3Text]],FIND("[",Tasks[[#This Row],[_Res3Text]]&amp;"[")-1))))</f>
        <v/>
      </c>
      <c r="DV1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2" s="42" t="n">
        <f aca="false">IF(OR(NOT(Tasks[[#This Row],[_IsLeaf]]=1),Tasks[[#This Row],[_Res3Row]]=0),0,N(Tasks[[#This Row],[_Days]])*HoursPerDay*IF(Tasks[[#This Row],[_Res3Units]]="",DefaultUnits,Tasks[[#This Row],[_Res3Units]]))</f>
        <v>0</v>
      </c>
      <c r="DX132" s="42" t="n">
        <f aca="false">IF(AND(AND(Tasks[[#This Row],[_IsLeaf]]=1,Tasks[[#This Row],[_LeafTotalWork]]&gt;0),Tasks[[#This Row],[_Res3Work]]&gt;0),Tasks[[#This Row],[_Res3Work]]/(Tasks[[#This Row],[_FinishWorkday]]-Tasks[[#This Row],[_StartWorkday]]+1),0)</f>
        <v>0</v>
      </c>
      <c r="DY132" s="42" t="n">
        <f aca="false">Tasks[[#This Row],[_Res3WorkPerWD]]*MAX(0,Tasks[[#This Row],[_StartWorkday]]-1)</f>
        <v>0</v>
      </c>
      <c r="DZ132" s="42" t="n">
        <f aca="false">Tasks[[#This Row],[_Res3Work]]*Tasks[[#This Row],[_LeafProgress]]</f>
        <v>0</v>
      </c>
      <c r="EA132" s="42" t="str">
        <f aca="false">IF(Tasks[[#This Row],[_Res4Text]]="","",IF(Tasks[[#This Row],[_Res4Row]]&gt;0,INDEX(res_Name,Tasks[[#This Row],[_Res4Row]]),TRIM(LEFT(Tasks[[#This Row],[_Res4Text]],FIND("[",Tasks[[#This Row],[_Res4Text]]&amp;"[")-1))))</f>
        <v/>
      </c>
      <c r="EB1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2" s="42" t="n">
        <f aca="false">IF(OR(NOT(Tasks[[#This Row],[_IsLeaf]]=1),Tasks[[#This Row],[_Res4Row]]=0),0,N(Tasks[[#This Row],[_Days]])*HoursPerDay*IF(Tasks[[#This Row],[_Res4Units]]="",DefaultUnits,Tasks[[#This Row],[_Res4Units]]))</f>
        <v>0</v>
      </c>
      <c r="ED132" s="42" t="n">
        <f aca="false">IF(AND(AND(Tasks[[#This Row],[_IsLeaf]]=1,Tasks[[#This Row],[_LeafTotalWork]]&gt;0),Tasks[[#This Row],[_Res4Work]]&gt;0),Tasks[[#This Row],[_Res4Work]]/(Tasks[[#This Row],[_FinishWorkday]]-Tasks[[#This Row],[_StartWorkday]]+1),0)</f>
        <v>0</v>
      </c>
      <c r="EE132" s="42" t="n">
        <f aca="false">Tasks[[#This Row],[_Res4WorkPerWD]]*MAX(0,Tasks[[#This Row],[_StartWorkday]]-1)</f>
        <v>0</v>
      </c>
      <c r="EF132" s="42" t="n">
        <f aca="false">Tasks[[#This Row],[_Res4Work]]*Tasks[[#This Row],[_LeafProgress]]</f>
        <v>0</v>
      </c>
      <c r="EG132" s="42" t="n">
        <f aca="false">IF(ISNUMBER(Tasks[[#This Row],[% Complete]]),Tasks[[#This Row],[% Complete]],IF(Tasks[[#This Row],[Stage]]="",0,IFERROR(INDEX(stg_Pct,MATCH(Tasks[[#This Row],[Stage]],stg_Name,0)),0)))</f>
        <v>0</v>
      </c>
      <c r="EH132" s="42" t="n">
        <f aca="false">IF(NOT(Tasks[[#This Row],[_IsLeaf]]=1),0,IF(N(Tasks[[#This Row],[Actual Finish]])&gt;0,1,MIN(1,Tasks[[#This Row],[_Pct]])))</f>
        <v>0</v>
      </c>
      <c r="EI132" s="42" t="n">
        <f aca="false">IF(OR(NOT(Tasks[[#This Row],[_IsLeaf]]=1),Tasks[[#This Row],[_Res1Row]]=0),0,N(Tasks[[#This Row],[_Days]])*HoursPerDay*IF(Tasks[[#This Row],[_Units1]]="",DefaultUnits,Tasks[[#This Row],[_Units1]]))</f>
        <v>0</v>
      </c>
      <c r="EJ132" s="42" t="n">
        <f aca="false">Tasks[[#This Row],[_LeafWork]]+Tasks[[#This Row],[_Res2Work]]+Tasks[[#This Row],[_Res3Work]]+Tasks[[#This Row],[_Res4Work]]</f>
        <v>0</v>
      </c>
      <c r="EK1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2" s="42" t="n">
        <f aca="false">IF(NOT(Tasks[[#This Row],[_IsLeaf]]=1),0,MAX(_xlfn.MAXIFS(Tasks[_Row],Tasks[_Pred1UID],Tasks[[#This Row],[UID]]),_xlfn.MAXIFS(Tasks[_Row],Tasks[_Pred2UID],Tasks[[#This Row],[UID]]),_xlfn.MAXIFS(Tasks[_Row],Tasks[_Pred3UID],Tasks[[#This Row],[UID]]),_xlfn.MAXIFS(Tasks[_Row],Tasks[_Pred4UID],Tasks[[#This Row],[UID]])))</f>
        <v>0</v>
      </c>
      <c r="ET1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2" s="89" t="str">
        <f aca="false">IF(NOT(Tasks[[#This Row],[_IsLeaf]]=1),"",IF(N(Tasks[[#This Row],[_Days]])&lt;=0,Tasks[[#This Row],[_LeafLateFinish]],WORKDAY.INTL(Tasks[[#This Row],[_LeafLateFinish]],-(Tasks[[#This Row],[_Days]]-1),WorkWeek,Holidays)))</f>
        <v/>
      </c>
      <c r="EW1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2" s="88" t="b">
        <f aca="false">AND(Tasks[[#This Row],[_IsLeaf]]=1,Tasks[[#This Row],[_LeafProgress]]&lt;1,N(Tasks[[#This Row],[_LeafTotalSlack]])&lt;=CriticalSlackDays)</f>
        <v>0</v>
      </c>
      <c r="EY132" s="42" t="n">
        <f aca="false">IF(AND(Tasks[[#This Row],[_IsLeaf]]=1,Tasks[[#This Row],[_ConstraintCode]]=1,Tasks[[#This Row],[Mode]]&lt;&gt;"Manual",N(Tasks[[#This Row],[Actual Start]])=0),MAX(0,N(Tasks[[#This Row],[Free Slack]])),0)</f>
        <v>0</v>
      </c>
      <c r="EZ132" s="89" t="str">
        <f aca="false">IF(NOT(Tasks[[#This Row],[_IsLeaf]]=1),"",IF(Tasks[[#This Row],[_AlapShift]]=0,Tasks[[#This Row],[_LeafCalcStart]],WORKDAY.INTL(Tasks[[#This Row],[_LeafCalcStart]],Tasks[[#This Row],[_AlapShift]],WorkWeek,Holidays)))</f>
        <v/>
      </c>
      <c r="FA132" s="89" t="str">
        <f aca="false">IF(NOT(Tasks[[#This Row],[_IsLeaf]]=1),"",IF(Tasks[[#This Row],[_AlapShift]]=0,Tasks[[#This Row],[_LeafCalcFinish]],WORKDAY.INTL(Tasks[[#This Row],[_LeafCalcFinish]],Tasks[[#This Row],[_AlapShift]],WorkWeek,Holidays)))</f>
        <v/>
      </c>
      <c r="FB132" s="89" t="str">
        <f aca="false">IF(NOT(Tasks[[#This Row],[_IsLeaf]]=1),"",IF(Tasks[[#This Row],[_AlapShift]]=0,Tasks[[#This Row],[_LeafFcstStart]],WORKDAY.INTL(Tasks[[#This Row],[_LeafFcstStart]],Tasks[[#This Row],[_AlapShift]],WorkWeek,Holidays)))</f>
        <v/>
      </c>
      <c r="FC132" s="89" t="str">
        <f aca="false">IF(NOT(Tasks[[#This Row],[_IsLeaf]]=1),"",IF(Tasks[[#This Row],[_AlapShift]]=0,Tasks[[#This Row],[_LeafFcstFinish]],WORKDAY.INTL(Tasks[[#This Row],[_LeafFcstFinish]],Tasks[[#This Row],[_AlapShift]],WorkWeek,Holidays)))</f>
        <v/>
      </c>
      <c r="FD132" s="89" t="str">
        <f aca="false">IF(Tasks[[#This Row],[Task Name]]="","",IF(Tasks[[#This Row],[_IsSummary]],MIN(INDEX(Tasks[_ShownCalcStart],Tasks[[#This Row],[_Row]]+1):INDEX(Tasks[_ShownCalcStart],Tasks[[#This Row],[_Row]]+Tasks[[#This Row],[_Descendants]])),Tasks[[#This Row],[_ShownCalcStart]]))</f>
        <v/>
      </c>
      <c r="FE132" s="89" t="str">
        <f aca="false">IF(Tasks[[#This Row],[Task Name]]="","",IF(Tasks[[#This Row],[_IsSummary]],MAX(INDEX(Tasks[_ShownCalcFinish],Tasks[[#This Row],[_Row]]+1):INDEX(Tasks[_ShownCalcFinish],Tasks[[#This Row],[_Row]]+Tasks[[#This Row],[_Descendants]])),Tasks[[#This Row],[_ShownCalcFinish]]))</f>
        <v/>
      </c>
      <c r="FF1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2" s="42" t="n">
        <f aca="false">IF(AND(Tasks[[#This Row],[_IsLeaf]]=1,Tasks[[#This Row],[_LeafTotalWork]]&gt;0),NETWORKDAYS.INTL(ProjectStart,Tasks[[#This Row],[_ShownFcstStart]],WorkWeek,Holidays),0)</f>
        <v>0</v>
      </c>
      <c r="FS132" s="42" t="n">
        <f aca="false">IF(AND(Tasks[[#This Row],[_IsLeaf]]=1,Tasks[[#This Row],[_LeafTotalWork]]&gt;0),MAX(Tasks[[#This Row],[_StartWorkday]],NETWORKDAYS.INTL(ProjectStart,Tasks[[#This Row],[_ShownFcstFinish]],WorkWeek,Holidays)),0)</f>
        <v>0</v>
      </c>
      <c r="FT132" s="42" t="n">
        <f aca="false">IF(AND(Tasks[[#This Row],[_IsLeaf]]=1,Tasks[[#This Row],[_LeafTotalWork]]&gt;0),Tasks[[#This Row],[_LeafWork]]/(Tasks[[#This Row],[_FinishWorkday]]-Tasks[[#This Row],[_StartWorkday]]+1),0)</f>
        <v>0</v>
      </c>
      <c r="FU132" s="42" t="n">
        <f aca="false">Tasks[[#This Row],[_WorkPerWorkday]]*(Tasks[[#This Row],[_StartWorkday]]-1)</f>
        <v>-0</v>
      </c>
      <c r="FV132" s="42" t="n">
        <f aca="false">IF(Tasks[[#This Row],[_IsLeaf]]=1,MAX(N(Tasks[[#This Row],[_Days]]),0.1),0)</f>
        <v>0</v>
      </c>
      <c r="FW132" s="42" t="n">
        <f aca="false">Tasks[[#This Row],[_WeightDur]]*Tasks[[#This Row],[_LeafProgress]]</f>
        <v>0</v>
      </c>
      <c r="FX132" s="42" t="n">
        <f aca="false">Tasks[[#This Row],[_WeightDur]]*Tasks[[#This Row],[_PlannedPct]]</f>
        <v>0</v>
      </c>
      <c r="FY1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2" s="42" t="str">
        <f aca="false">IF(AND(Tasks[[#This Row],[_IsLeaf]]=1,N(Tasks[[#This Row],[_Days]])=0,Tasks[[#This Row],[_LeafProgress]]&lt;1),Tasks[[#This Row],[_ShownFcstFinish]]+Tasks[[#This Row],[_Row]]/100000,"")</f>
        <v/>
      </c>
      <c r="GA1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2" s="42" t="str">
        <f aca="false">IF(Tasks[[#This Row],[Task Name]]="","",LEFT(Tasks[[#This Row],[WBS]],FIND(".",Tasks[[#This Row],[WBS]]&amp;".")-1))</f>
        <v/>
      </c>
      <c r="GC132" s="42" t="str">
        <f aca="false">IF(AND(Tasks[[#This Row],[Task Name]]&lt;&gt;"",Tasks[[#This Row],[_Level]]=1),Tasks[[#This Row],[_Row]],"")</f>
        <v/>
      </c>
      <c r="GD132" s="42" t="str">
        <f aca="false">IF(AND(Tasks[[#This Row],[_IsLeaf]]=1,N(Tasks[[#This Row],[_Days]])=0),Tasks[[#This Row],[Planned Finish]]+Tasks[[#This Row],[_Row]]/100000,"")</f>
        <v/>
      </c>
      <c r="GE132" s="42" t="str">
        <f aca="false">IF(AND(Tasks[[#This Row],[_IsLeaf]]=1,Tasks[[#This Row],[_LeafProgress]]&lt;1,OR(N(Tasks[[#This Row],[Finish Var]])&gt;0,Tasks[[#This Row],[Status]]="Late Start")),MAX(0,Tasks[[#This Row],[Finish Var]])+1-Tasks[[#This Row],[_Row]]/1000000,"")</f>
        <v/>
      </c>
      <c r="GF132" s="42" t="str">
        <f aca="false">IF(AND(Tasks[[#This Row],[_IsLeaf]]=1,N(Tasks[[#This Row],[Actual Start]])=0,Tasks[[#This Row],[_ShownFcstStart]]&gt;=StatusDate,Tasks[[#This Row],[_ShownFcstStart]]&lt;=LookaheadEnd),Tasks[[#This Row],[_ShownFcstStart]]+Tasks[[#This Row],[_Row]]/100000,"")</f>
        <v/>
      </c>
      <c r="GG132" s="42" t="str">
        <f aca="false">IF(AND(Tasks[[#This Row],[_IsLeaf]]=1,Tasks[[#This Row],[_LeafProgress]]&lt;1,Tasks[[#This Row],[_ShownFcstFinish]]&gt;=StatusDate,Tasks[[#This Row],[_ShownFcstFinish]]&lt;=LookaheadEnd),Tasks[[#This Row],[_ShownFcstFinish]]+Tasks[[#This Row],[_Row]]/100000,"")</f>
        <v/>
      </c>
      <c r="GH132" s="42" t="str">
        <f aca="false">IF(Tasks[[#This Row],[_LeafCritical]],Tasks[[#This Row],[_ShownFcstStart]]+Tasks[[#This Row],[_Row]]/100000,"")</f>
        <v/>
      </c>
      <c r="GI132" s="42" t="n">
        <f aca="false">Tasks[[#This Row],[_LeafWork]]*Tasks[[#This Row],[_LeafProgress]]</f>
        <v>0</v>
      </c>
      <c r="GJ132" s="89" t="str">
        <f aca="false">IF(AND(Tasks[[#This Row],[_IsLeaf]]=1,Tasks[[#This Row],[_LeafProgress]]&gt;=1),IF(N(Tasks[[#This Row],[Actual Finish]])&gt;0,Tasks[[#This Row],[Actual Finish]],Tasks[[#This Row],[_ShownFcstFinish]]),"")</f>
        <v/>
      </c>
      <c r="GK132" s="42" t="n">
        <f aca="false">IF(Tasks[[#This Row],[_IsLeaf]]=1,N(Tasks[[#This Row],[Story Points]]),0)</f>
        <v>0</v>
      </c>
      <c r="GL132" s="42" t="str">
        <f aca="false">""</f>
        <v/>
      </c>
      <c r="GM132" s="88" t="b">
        <f aca="false">IF(Tasks[[#This Row],[Task Name]]="",FALSE(),AND(Tasks[[#This Row],[_IsLeaf]]=1,N(Tasks[[#This Row],[_Days]])=0))</f>
        <v>0</v>
      </c>
      <c r="GN132" s="89" t="n">
        <f aca="false">IF(Tasks[[#This Row],[Task Name]]="",0,IF(AND(Tasks[[#This Row],[_IsLeaf]]=1,NOT(Tasks[[#This Row],[_IsMilestone]]),N(Tasks[[#This Row],[Progress]])&gt;0),Tasks[[#This Row],[Start]],0))</f>
        <v>0</v>
      </c>
      <c r="GO132" s="89" t="n">
        <f aca="false">IF(Tasks[[#This Row],[_DoneFrom]]=0,0,IF(Tasks[[#This Row],[Progress]]&gt;=1,Tasks[[#This Row],[Finish]],MAX(Tasks[[#This Row],[_DoneFrom]],Tasks[[#This Row],[Start]]+ROUND((Tasks[[#This Row],[Finish]]-Tasks[[#This Row],[Start]]+1)*Tasks[[#This Row],[Progress]],0)-1)))</f>
        <v>0</v>
      </c>
      <c r="GP132" s="89" t="n">
        <f aca="false">IF(Tasks[[#This Row],[Task Name]]="",0,IF(OR(NOT(Tasks[[#This Row],[_IsLeaf]]=1),Tasks[[#This Row],[_IsMilestone]],N(Tasks[[#This Row],[Progress]])&gt;=1),0,IF(Tasks[[#This Row],[_DoneTo]]&gt;0,Tasks[[#This Row],[_DoneTo]]+1,Tasks[[#This Row],[Start]])))</f>
        <v>0</v>
      </c>
      <c r="GQ132" s="89" t="n">
        <f aca="false">IF(Tasks[[#This Row],[_RemFrom]]=0,0,Tasks[[#This Row],[Finish]])</f>
        <v>0</v>
      </c>
      <c r="GR132" s="88" t="b">
        <f aca="false">IF(Tasks[[#This Row],[Task Name]]="",FALSE(),OR(NOT(BaselineSet),N(Tasks[[#This Row],[Baseline Start]])&gt;0))</f>
        <v>0</v>
      </c>
      <c r="GS1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2" s="90" t="str">
        <f aca="false">IF(Tasks[[#This Row],[_IsLeaf]]=1,Tasks[[#This Row],[_Row]],"")</f>
        <v/>
      </c>
      <c r="GW132" s="90" t="str">
        <f aca="false">IFERROR(INDEX(Tasks[UID],SMALL(Tasks[_PickKey],Tasks[[#This Row],[_Row]]))&amp;" "&amp;INDEX(Tasks[Task Name],SMALL(Tasks[_PickKey],Tasks[[#This Row],[_Row]])),"")</f>
        <v/>
      </c>
      <c r="GX132" s="42" t="str">
        <f aca="false">IF(Tasks[[#This Row],[Task Name]]="","",IF(Tasks[[#This Row],[_IsSummary]],NETWORKDAYS.INTL(Tasks[[#This Row],[Start]],Tasks[[#This Row],[Finish]],WorkWeek,Holidays),N(Tasks[[#This Row],[_Days]])))</f>
        <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3"/>
      <c r="U133" s="23"/>
      <c r="V133" s="83"/>
      <c r="W133" s="23"/>
      <c r="X133" s="83"/>
      <c r="Y133" s="23"/>
      <c r="Z133" s="83"/>
      <c r="AA133" s="23"/>
      <c r="AB133" s="23"/>
      <c r="AC133" s="7"/>
      <c r="AD133" s="7"/>
      <c r="AE133" s="62" t="str">
        <f aca="false">IF(Tasks[[#This Row],[Task Name]]="","",IF(Tasks[[#This Row],[_IsSummary]],MIN(INDEX(Tasks[_ShownFcstStart],Tasks[[#This Row],[_Row]]+1):INDEX(Tasks[_ShownFcstStart],Tasks[[#This Row],[_Row]]+Tasks[[#This Row],[_Descendants]])),Tasks[[#This Row],[_ShownFcstStart]]))</f>
        <v/>
      </c>
      <c r="AF133" s="62"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3" s="7"/>
      <c r="AK133" s="22"/>
      <c r="AL133" s="23"/>
      <c r="AM133" s="7"/>
      <c r="AN133" s="46"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2" t="str">
        <f aca="false">IF(Tasks[[#This Row],[Task Name]]="","",IF(N(Tasks[[#This Row],[Baseline Start]])&gt;0,Tasks[[#This Row],[Baseline Start]],Tasks[[#This Row],[_CalcStart]]))</f>
        <v/>
      </c>
      <c r="AR133" s="62" t="str">
        <f aca="false">IF(Tasks[[#This Row],[Task Name]]="","",IF(N(Tasks[[#This Row],[Baseline Finish]])&gt;0,Tasks[[#This Row],[Baseline Finish]],Tasks[[#This Row],[_CalcFinish]]))</f>
        <v/>
      </c>
      <c r="AS133" s="46" t="str">
        <f aca="false">IF(Tasks[[#This Row],[Task Name]]="","",IF(Tasks[[#This Row],[Start]]&gt;=Tasks[[#This Row],[Planned Start]],NETWORKDAYS.INTL(Tasks[[#This Row],[Planned Start]],Tasks[[#This Row],[Start]],WorkWeek,Holidays)-1,1-NETWORKDAYS.INTL(Tasks[[#This Row],[Start]],Tasks[[#This Row],[Planned Start]],WorkWeek,Holidays)))</f>
        <v/>
      </c>
      <c r="AT133" s="62" t="str">
        <f aca="false">IF(Tasks[[#This Row],[Task Name]]="","",IF(Tasks[[#This Row],[_IsSummary]],MIN(INDEX(Tasks[_LeafLateStart],Tasks[[#This Row],[_Row]]+1):INDEX(Tasks[_LeafLateStart],Tasks[[#This Row],[_Row]]+Tasks[[#This Row],[_Descendants]])),Tasks[[#This Row],[_LeafLateStart]]))</f>
        <v/>
      </c>
      <c r="AU133" s="62" t="str">
        <f aca="false">IF(Tasks[[#This Row],[Task Name]]="","",IF(Tasks[[#This Row],[_IsSummary]],MAX(INDEX(Tasks[_LeafLateFinish],Tasks[[#This Row],[_Row]]+1):INDEX(Tasks[_LeafLateFinish],Tasks[[#This Row],[_Row]]+Tasks[[#This Row],[_Descendants]])),Tasks[[#This Row],[_LeafLateFinish]]))</f>
        <v/>
      </c>
      <c r="AV133" s="46"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4"/>
      <c r="BA1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5"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6"/>
      <c r="BJ133" s="22"/>
      <c r="BK133" s="46" t="str">
        <f aca="false">IF(OR(Tasks[[#This Row],[Task Name]]="",Tasks[[#This Row],[Baseline Duration]]=""),"",Tasks[[#This Row],[_SpanDays]]-N(Tasks[[#This Row],[Baseline Duration]]))</f>
        <v/>
      </c>
      <c r="BL133" s="85" t="str">
        <f aca="false">IF(OR(Tasks[[#This Row],[Task Name]]="",Tasks[[#This Row],[Baseline Work]]=""),"",Tasks[[#This Row],[Work]]-N(Tasks[[#This Row],[Baseline Work]]))</f>
        <v/>
      </c>
      <c r="BM133" s="62" t="str">
        <f aca="false">IF(Tasks[[#This Row],[Task Name]]="","",IF(OR(TakeBaseline="Yes",N(Tasks[[#This Row],[Baseline Start]])=0),Tasks[[#This Row],[Start]],Tasks[[#This Row],[Baseline Start]]))</f>
        <v/>
      </c>
      <c r="BN133" s="62"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5" t="str">
        <f aca="false">IF(Tasks[[#This Row],[Task Name]]="","",IF(OR(TakeBaseline="Yes",N(Tasks[[#This Row],[Baseline Work]])=0),Tasks[[#This Row],[Work]],Tasks[[#This Row],[Baseline Work]]))</f>
        <v/>
      </c>
      <c r="BQ133" s="7"/>
      <c r="BR133" s="7"/>
      <c r="BS133" s="22"/>
      <c r="BT133" s="87"/>
      <c r="BU133" s="42" t="str">
        <f aca="false">IF(Tasks[[#This Row],[Task Name]]="","",MAX(1,N(Tasks[[#This Row],[Level]])))</f>
        <v/>
      </c>
      <c r="BV133" s="42" t="n">
        <f aca="false">ROW()-ROW(Tasks[[#Headers],[ID]])</f>
        <v>128</v>
      </c>
      <c r="BW133" s="42" t="n">
        <f aca="false">IF(OR(Tasks[[#This Row],[Task Name]]="",Tasks[[#This Row],[_Level]]&lt;=1),0,IFERROR(LOOKUP(2,1/(Tasks[[#Headers],[_Level]]:Tasks[[#This Row],[_Level]]=Tasks[[#This Row],[_Level]]-1),ROW(Tasks[[#Headers],[_Level]]:Tasks[[#This Row],[_Level]])),0))</f>
        <v>0</v>
      </c>
      <c r="BX133" s="42" t="n">
        <f aca="false">IFERROR(N(INDEX(Tasks[_Level],Tasks[[#This Row],[_Row]]+1)),0)</f>
        <v>0</v>
      </c>
      <c r="BY133" s="88" t="b">
        <f aca="false">AND(Tasks[[#This Row],[Task Name]]&lt;&gt;"",Tasks[[#This Row],[_NextLevel]]&gt;Tasks[[#This Row],[_Level]])</f>
        <v>0</v>
      </c>
      <c r="BZ133" s="42" t="n">
        <f aca="false">IF(Tasks[[#This Row],[_IsSummary]],COUNTIF(Tasks[WBS],Tasks[[#This Row],[WBS]]&amp;".*"),0)</f>
        <v>0</v>
      </c>
      <c r="CA133" s="42" t="n">
        <f aca="false">IF(AND(Tasks[[#This Row],[Task Name]]&lt;&gt;"",NOT(Tasks[[#This Row],[_IsSummary]])),1,0)</f>
        <v>0</v>
      </c>
      <c r="CB133" s="42" t="n">
        <f aca="false">IF(N(Tasks[[#This Row],[_Pred1UID]])=0,0,IFERROR(MATCH(Tasks[[#This Row],[_Pred1UID]],Tasks[UID],0),-1))</f>
        <v>0</v>
      </c>
      <c r="CC133" s="42" t="n">
        <f aca="false">IF(N(Tasks[[#This Row],[_Pred2UID]])=0,0,IFERROR(MATCH(Tasks[[#This Row],[_Pred2UID]],Tasks[UID],0),-1))</f>
        <v>0</v>
      </c>
      <c r="CD133" s="42" t="n">
        <f aca="false">IF(N(Tasks[[#This Row],[_Pred3UID]])=0,0,IFERROR(MATCH(Tasks[[#This Row],[_Pred3UID]],Tasks[UID],0),-1))</f>
        <v>0</v>
      </c>
      <c r="CE133" s="42" t="n">
        <f aca="false">IF(N(Tasks[[#This Row],[_Pred4UID]])=0,0,IFERROR(MATCH(Tasks[[#This Row],[_Pred4UID]],Tasks[UID],0),-1))</f>
        <v>0</v>
      </c>
      <c r="CF1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3" s="89" t="n">
        <f aca="false">IF(OR(Tasks[[#This Row],[_ConstraintCode]]=2,Tasks[[#This Row],[_ConstraintCode]]=3,Tasks[[#This Row],[_ConstraintCode]]=4,Tasks[[#This Row],[_ConstraintCode]]=6),Tasks[[#This Row],[_ConstraintStart]],0)</f>
        <v>0</v>
      </c>
      <c r="CI133" s="89" t="n">
        <f aca="false">IF(OR(Tasks[[#This Row],[_ConstraintCode]]=2,Tasks[[#This Row],[_ConstraintCode]]=3,Tasks[[#This Row],[_ConstraintCode]]=5,Tasks[[#This Row],[_ConstraintCode]]=7),Tasks[[#This Row],[_ConstraintStart]],2958465)</f>
        <v>2958465</v>
      </c>
      <c r="CJ1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3" s="89" t="str">
        <f aca="false">IF(NOT(Tasks[[#This Row],[_IsLeaf]]=1),"",IF(N(Tasks[[#This Row],[_Days]])&lt;=0,Tasks[[#This Row],[_LeafCalcStart]],WORKDAY.INTL(Tasks[[#This Row],[_LeafCalcStart]],Tasks[[#This Row],[_Days]]-1,WorkWeek,Holidays)))</f>
        <v/>
      </c>
      <c r="CL1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3" s="42" t="str">
        <f aca="false">IF(Tasks[[#This Row],[_Predecessors]]="","",TRIM(MID(SUBSTITUTE(SUBSTITUTE(SUBSTITUTE(UPPER(Tasks[[#This Row],[_Predecessors]]),";",",")," ",""),",",REPT(" ",99)),1,99)))</f>
        <v/>
      </c>
      <c r="CO133" s="42" t="str">
        <f aca="false">IF(Tasks[[#This Row],[_Pred1Text]]="","",IFERROR(VALUE(LEFT(Tasks[[#This Row],[_Pred1Text]],MIN(FIND("F",Tasks[[#This Row],[_Pred1Text]]&amp;"F"),FIND("S",Tasks[[#This Row],[_Pred1Text]]&amp;"S"),FIND("+",Tasks[[#This Row],[_Pred1Text]]&amp;"+"),FIND("-",Tasks[[#This Row],[_Pred1Text]]&amp;"-"))-1)),""))</f>
        <v/>
      </c>
      <c r="CP1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3" s="42" t="str">
        <f aca="false">IF(Tasks[[#This Row],[_Pred1Text]]="","",TRIM(MID(SUBSTITUTE(SUBSTITUTE(SUBSTITUTE(UPPER(Tasks[[#This Row],[_Predecessors]]),";",",")," ",""),",",REPT(" ",99)),100,99)))</f>
        <v/>
      </c>
      <c r="CS133" s="42" t="str">
        <f aca="false">IF(Tasks[[#This Row],[_Pred2Text]]="","",IFERROR(VALUE(LEFT(Tasks[[#This Row],[_Pred2Text]],MIN(FIND("F",Tasks[[#This Row],[_Pred2Text]]&amp;"F"),FIND("S",Tasks[[#This Row],[_Pred2Text]]&amp;"S"),FIND("+",Tasks[[#This Row],[_Pred2Text]]&amp;"+"),FIND("-",Tasks[[#This Row],[_Pred2Text]]&amp;"-"))-1)),""))</f>
        <v/>
      </c>
      <c r="CT1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3" s="42" t="str">
        <f aca="false">IF(Tasks[[#This Row],[_Pred2Text]]="","",TRIM(MID(SUBSTITUTE(SUBSTITUTE(SUBSTITUTE(UPPER(Tasks[[#This Row],[_Predecessors]]),";",",")," ",""),",",REPT(" ",99)),199,99)))</f>
        <v/>
      </c>
      <c r="CW133" s="42" t="str">
        <f aca="false">IF(Tasks[[#This Row],[_Pred3Text]]="","",IFERROR(VALUE(LEFT(Tasks[[#This Row],[_Pred3Text]],MIN(FIND("F",Tasks[[#This Row],[_Pred3Text]]&amp;"F"),FIND("S",Tasks[[#This Row],[_Pred3Text]]&amp;"S"),FIND("+",Tasks[[#This Row],[_Pred3Text]]&amp;"+"),FIND("-",Tasks[[#This Row],[_Pred3Text]]&amp;"-"))-1)),""))</f>
        <v/>
      </c>
      <c r="CX1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3" s="42" t="str">
        <f aca="false">IF(Tasks[[#This Row],[_Pred3Text]]="","",TRIM(MID(SUBSTITUTE(SUBSTITUTE(SUBSTITUTE(UPPER(Tasks[[#This Row],[_Predecessors]]),";",",")," ",""),",",REPT(" ",99)),298,99)))</f>
        <v/>
      </c>
      <c r="DA133" s="42" t="str">
        <f aca="false">IF(Tasks[[#This Row],[_Pred4Text]]="","",IFERROR(VALUE(LEFT(Tasks[[#This Row],[_Pred4Text]],MIN(FIND("F",Tasks[[#This Row],[_Pred4Text]]&amp;"F"),FIND("S",Tasks[[#This Row],[_Pred4Text]]&amp;"S"),FIND("+",Tasks[[#This Row],[_Pred4Text]]&amp;"+"),FIND("-",Tasks[[#This Row],[_Pred4Text]]&amp;"-"))-1)),""))</f>
        <v/>
      </c>
      <c r="DB1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3" s="42" t="str">
        <f aca="false">IF(OR(Tasks[[#This Row],[Task Name]]="",Tasks[[#This Row],[_Resources]]=""),"",TRIM(MID(SUBSTITUTE(Tasks[[#This Row],[_Resources]],",",REPT(" ",99)),1,99)))</f>
        <v/>
      </c>
      <c r="DE133" s="42" t="str">
        <f aca="false">IF(Tasks[[#This Row],[_Res1Text]]="","",TRIM(MID(SUBSTITUTE(Tasks[[#This Row],[_Resources]],",",REPT(" ",99)),100,99)))</f>
        <v/>
      </c>
      <c r="DF133" s="42" t="str">
        <f aca="false">IF(Tasks[[#This Row],[_Res2Text]]="","",TRIM(MID(SUBSTITUTE(Tasks[[#This Row],[_Resources]],",",REPT(" ",99)),199,99)))</f>
        <v/>
      </c>
      <c r="DG133" s="42" t="str">
        <f aca="false">IF(Tasks[[#This Row],[_Res3Text]]="","",TRIM(MID(SUBSTITUTE(Tasks[[#This Row],[_Resources]],",",REPT(" ",99)),298,99)))</f>
        <v/>
      </c>
      <c r="DH133" s="42" t="n">
        <f aca="false">IF(Tasks[[#This Row],[_Res1Text]]="",0,IFERROR(MATCH(TRIM(LEFT(Tasks[[#This Row],[_Res1Text]],FIND("[",Tasks[[#This Row],[_Res1Text]]&amp;"[")-1)),res_Name,0),IFERROR(MATCH(TRIM(LEFT(Tasks[[#This Row],[_Res1Text]],FIND("[",Tasks[[#This Row],[_Res1Text]]&amp;"[")-1)),res_Initials,0),0)))</f>
        <v>0</v>
      </c>
      <c r="DI133" s="42" t="n">
        <f aca="false">IF(Tasks[[#This Row],[_Res2Text]]="",0,IFERROR(MATCH(TRIM(LEFT(Tasks[[#This Row],[_Res2Text]],FIND("[",Tasks[[#This Row],[_Res2Text]]&amp;"[")-1)),res_Name,0),IFERROR(MATCH(TRIM(LEFT(Tasks[[#This Row],[_Res2Text]],FIND("[",Tasks[[#This Row],[_Res2Text]]&amp;"[")-1)),res_Initials,0),0)))</f>
        <v>0</v>
      </c>
      <c r="DJ133" s="42" t="n">
        <f aca="false">IF(Tasks[[#This Row],[_Res3Text]]="",0,IFERROR(MATCH(TRIM(LEFT(Tasks[[#This Row],[_Res3Text]],FIND("[",Tasks[[#This Row],[_Res3Text]]&amp;"[")-1)),res_Name,0),IFERROR(MATCH(TRIM(LEFT(Tasks[[#This Row],[_Res3Text]],FIND("[",Tasks[[#This Row],[_Res3Text]]&amp;"[")-1)),res_Initials,0),0)))</f>
        <v>0</v>
      </c>
      <c r="DK133" s="42" t="n">
        <f aca="false">IF(Tasks[[#This Row],[_Res4Text]]="",0,IFERROR(MATCH(TRIM(LEFT(Tasks[[#This Row],[_Res4Text]],FIND("[",Tasks[[#This Row],[_Res4Text]]&amp;"[")-1)),res_Name,0),IFERROR(MATCH(TRIM(LEFT(Tasks[[#This Row],[_Res4Text]],FIND("[",Tasks[[#This Row],[_Res4Text]]&amp;"[")-1)),res_Initials,0),0)))</f>
        <v>0</v>
      </c>
      <c r="DL133" s="42" t="str">
        <f aca="false">IF(Tasks[[#This Row],[_Res1Text]]="","",IF(Tasks[[#This Row],[_Res1Row]]&gt;0,INDEX(res_Name,Tasks[[#This Row],[_Res1Row]]),TRIM(LEFT(Tasks[[#This Row],[_Res1Text]],FIND("[",Tasks[[#This Row],[_Res1Text]]&amp;"[")-1))))</f>
        <v/>
      </c>
      <c r="DM1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3" s="42" t="n">
        <f aca="false">IF(NOT(Tasks[[#This Row],[_IsLeaf]]=1),0,(Tasks[[#This Row],[_Resource1]]&lt;&gt;"")+(Tasks[[#This Row],[_Res2]]&lt;&gt;"")+(Tasks[[#This Row],[_Res3]]&lt;&gt;"")+(Tasks[[#This Row],[_Res4]]&lt;&gt;""))</f>
        <v>0</v>
      </c>
      <c r="DO133" s="42" t="str">
        <f aca="false">IF(Tasks[[#This Row],[_Res2Text]]="","",IF(Tasks[[#This Row],[_Res2Row]]&gt;0,INDEX(res_Name,Tasks[[#This Row],[_Res2Row]]),TRIM(LEFT(Tasks[[#This Row],[_Res2Text]],FIND("[",Tasks[[#This Row],[_Res2Text]]&amp;"[")-1))))</f>
        <v/>
      </c>
      <c r="DP1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3" s="42" t="n">
        <f aca="false">IF(OR(NOT(Tasks[[#This Row],[_IsLeaf]]=1),Tasks[[#This Row],[_Res2Row]]=0),0,N(Tasks[[#This Row],[_Days]])*HoursPerDay*IF(Tasks[[#This Row],[_Res2Units]]="",DefaultUnits,Tasks[[#This Row],[_Res2Units]]))</f>
        <v>0</v>
      </c>
      <c r="DR133" s="42" t="n">
        <f aca="false">IF(AND(AND(Tasks[[#This Row],[_IsLeaf]]=1,Tasks[[#This Row],[_LeafTotalWork]]&gt;0),Tasks[[#This Row],[_Res2Work]]&gt;0),Tasks[[#This Row],[_Res2Work]]/(Tasks[[#This Row],[_FinishWorkday]]-Tasks[[#This Row],[_StartWorkday]]+1),0)</f>
        <v>0</v>
      </c>
      <c r="DS133" s="42" t="n">
        <f aca="false">Tasks[[#This Row],[_Res2WorkPerWD]]*MAX(0,Tasks[[#This Row],[_StartWorkday]]-1)</f>
        <v>0</v>
      </c>
      <c r="DT133" s="42" t="n">
        <f aca="false">Tasks[[#This Row],[_Res2Work]]*Tasks[[#This Row],[_LeafProgress]]</f>
        <v>0</v>
      </c>
      <c r="DU133" s="42" t="str">
        <f aca="false">IF(Tasks[[#This Row],[_Res3Text]]="","",IF(Tasks[[#This Row],[_Res3Row]]&gt;0,INDEX(res_Name,Tasks[[#This Row],[_Res3Row]]),TRIM(LEFT(Tasks[[#This Row],[_Res3Text]],FIND("[",Tasks[[#This Row],[_Res3Text]]&amp;"[")-1))))</f>
        <v/>
      </c>
      <c r="DV1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3" s="42" t="n">
        <f aca="false">IF(OR(NOT(Tasks[[#This Row],[_IsLeaf]]=1),Tasks[[#This Row],[_Res3Row]]=0),0,N(Tasks[[#This Row],[_Days]])*HoursPerDay*IF(Tasks[[#This Row],[_Res3Units]]="",DefaultUnits,Tasks[[#This Row],[_Res3Units]]))</f>
        <v>0</v>
      </c>
      <c r="DX133" s="42" t="n">
        <f aca="false">IF(AND(AND(Tasks[[#This Row],[_IsLeaf]]=1,Tasks[[#This Row],[_LeafTotalWork]]&gt;0),Tasks[[#This Row],[_Res3Work]]&gt;0),Tasks[[#This Row],[_Res3Work]]/(Tasks[[#This Row],[_FinishWorkday]]-Tasks[[#This Row],[_StartWorkday]]+1),0)</f>
        <v>0</v>
      </c>
      <c r="DY133" s="42" t="n">
        <f aca="false">Tasks[[#This Row],[_Res3WorkPerWD]]*MAX(0,Tasks[[#This Row],[_StartWorkday]]-1)</f>
        <v>0</v>
      </c>
      <c r="DZ133" s="42" t="n">
        <f aca="false">Tasks[[#This Row],[_Res3Work]]*Tasks[[#This Row],[_LeafProgress]]</f>
        <v>0</v>
      </c>
      <c r="EA133" s="42" t="str">
        <f aca="false">IF(Tasks[[#This Row],[_Res4Text]]="","",IF(Tasks[[#This Row],[_Res4Row]]&gt;0,INDEX(res_Name,Tasks[[#This Row],[_Res4Row]]),TRIM(LEFT(Tasks[[#This Row],[_Res4Text]],FIND("[",Tasks[[#This Row],[_Res4Text]]&amp;"[")-1))))</f>
        <v/>
      </c>
      <c r="EB1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3" s="42" t="n">
        <f aca="false">IF(OR(NOT(Tasks[[#This Row],[_IsLeaf]]=1),Tasks[[#This Row],[_Res4Row]]=0),0,N(Tasks[[#This Row],[_Days]])*HoursPerDay*IF(Tasks[[#This Row],[_Res4Units]]="",DefaultUnits,Tasks[[#This Row],[_Res4Units]]))</f>
        <v>0</v>
      </c>
      <c r="ED133" s="42" t="n">
        <f aca="false">IF(AND(AND(Tasks[[#This Row],[_IsLeaf]]=1,Tasks[[#This Row],[_LeafTotalWork]]&gt;0),Tasks[[#This Row],[_Res4Work]]&gt;0),Tasks[[#This Row],[_Res4Work]]/(Tasks[[#This Row],[_FinishWorkday]]-Tasks[[#This Row],[_StartWorkday]]+1),0)</f>
        <v>0</v>
      </c>
      <c r="EE133" s="42" t="n">
        <f aca="false">Tasks[[#This Row],[_Res4WorkPerWD]]*MAX(0,Tasks[[#This Row],[_StartWorkday]]-1)</f>
        <v>0</v>
      </c>
      <c r="EF133" s="42" t="n">
        <f aca="false">Tasks[[#This Row],[_Res4Work]]*Tasks[[#This Row],[_LeafProgress]]</f>
        <v>0</v>
      </c>
      <c r="EG133" s="42" t="n">
        <f aca="false">IF(ISNUMBER(Tasks[[#This Row],[% Complete]]),Tasks[[#This Row],[% Complete]],IF(Tasks[[#This Row],[Stage]]="",0,IFERROR(INDEX(stg_Pct,MATCH(Tasks[[#This Row],[Stage]],stg_Name,0)),0)))</f>
        <v>0</v>
      </c>
      <c r="EH133" s="42" t="n">
        <f aca="false">IF(NOT(Tasks[[#This Row],[_IsLeaf]]=1),0,IF(N(Tasks[[#This Row],[Actual Finish]])&gt;0,1,MIN(1,Tasks[[#This Row],[_Pct]])))</f>
        <v>0</v>
      </c>
      <c r="EI133" s="42" t="n">
        <f aca="false">IF(OR(NOT(Tasks[[#This Row],[_IsLeaf]]=1),Tasks[[#This Row],[_Res1Row]]=0),0,N(Tasks[[#This Row],[_Days]])*HoursPerDay*IF(Tasks[[#This Row],[_Units1]]="",DefaultUnits,Tasks[[#This Row],[_Units1]]))</f>
        <v>0</v>
      </c>
      <c r="EJ133" s="42" t="n">
        <f aca="false">Tasks[[#This Row],[_LeafWork]]+Tasks[[#This Row],[_Res2Work]]+Tasks[[#This Row],[_Res3Work]]+Tasks[[#This Row],[_Res4Work]]</f>
        <v>0</v>
      </c>
      <c r="EK1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3" s="42" t="n">
        <f aca="false">IF(NOT(Tasks[[#This Row],[_IsLeaf]]=1),0,MAX(_xlfn.MAXIFS(Tasks[_Row],Tasks[_Pred1UID],Tasks[[#This Row],[UID]]),_xlfn.MAXIFS(Tasks[_Row],Tasks[_Pred2UID],Tasks[[#This Row],[UID]]),_xlfn.MAXIFS(Tasks[_Row],Tasks[_Pred3UID],Tasks[[#This Row],[UID]]),_xlfn.MAXIFS(Tasks[_Row],Tasks[_Pred4UID],Tasks[[#This Row],[UID]])))</f>
        <v>0</v>
      </c>
      <c r="ET1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3" s="89" t="str">
        <f aca="false">IF(NOT(Tasks[[#This Row],[_IsLeaf]]=1),"",IF(N(Tasks[[#This Row],[_Days]])&lt;=0,Tasks[[#This Row],[_LeafLateFinish]],WORKDAY.INTL(Tasks[[#This Row],[_LeafLateFinish]],-(Tasks[[#This Row],[_Days]]-1),WorkWeek,Holidays)))</f>
        <v/>
      </c>
      <c r="EW1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3" s="88" t="b">
        <f aca="false">AND(Tasks[[#This Row],[_IsLeaf]]=1,Tasks[[#This Row],[_LeafProgress]]&lt;1,N(Tasks[[#This Row],[_LeafTotalSlack]])&lt;=CriticalSlackDays)</f>
        <v>0</v>
      </c>
      <c r="EY133" s="42" t="n">
        <f aca="false">IF(AND(Tasks[[#This Row],[_IsLeaf]]=1,Tasks[[#This Row],[_ConstraintCode]]=1,Tasks[[#This Row],[Mode]]&lt;&gt;"Manual",N(Tasks[[#This Row],[Actual Start]])=0),MAX(0,N(Tasks[[#This Row],[Free Slack]])),0)</f>
        <v>0</v>
      </c>
      <c r="EZ133" s="89" t="str">
        <f aca="false">IF(NOT(Tasks[[#This Row],[_IsLeaf]]=1),"",IF(Tasks[[#This Row],[_AlapShift]]=0,Tasks[[#This Row],[_LeafCalcStart]],WORKDAY.INTL(Tasks[[#This Row],[_LeafCalcStart]],Tasks[[#This Row],[_AlapShift]],WorkWeek,Holidays)))</f>
        <v/>
      </c>
      <c r="FA133" s="89" t="str">
        <f aca="false">IF(NOT(Tasks[[#This Row],[_IsLeaf]]=1),"",IF(Tasks[[#This Row],[_AlapShift]]=0,Tasks[[#This Row],[_LeafCalcFinish]],WORKDAY.INTL(Tasks[[#This Row],[_LeafCalcFinish]],Tasks[[#This Row],[_AlapShift]],WorkWeek,Holidays)))</f>
        <v/>
      </c>
      <c r="FB133" s="89" t="str">
        <f aca="false">IF(NOT(Tasks[[#This Row],[_IsLeaf]]=1),"",IF(Tasks[[#This Row],[_AlapShift]]=0,Tasks[[#This Row],[_LeafFcstStart]],WORKDAY.INTL(Tasks[[#This Row],[_LeafFcstStart]],Tasks[[#This Row],[_AlapShift]],WorkWeek,Holidays)))</f>
        <v/>
      </c>
      <c r="FC133" s="89" t="str">
        <f aca="false">IF(NOT(Tasks[[#This Row],[_IsLeaf]]=1),"",IF(Tasks[[#This Row],[_AlapShift]]=0,Tasks[[#This Row],[_LeafFcstFinish]],WORKDAY.INTL(Tasks[[#This Row],[_LeafFcstFinish]],Tasks[[#This Row],[_AlapShift]],WorkWeek,Holidays)))</f>
        <v/>
      </c>
      <c r="FD133" s="89" t="str">
        <f aca="false">IF(Tasks[[#This Row],[Task Name]]="","",IF(Tasks[[#This Row],[_IsSummary]],MIN(INDEX(Tasks[_ShownCalcStart],Tasks[[#This Row],[_Row]]+1):INDEX(Tasks[_ShownCalcStart],Tasks[[#This Row],[_Row]]+Tasks[[#This Row],[_Descendants]])),Tasks[[#This Row],[_ShownCalcStart]]))</f>
        <v/>
      </c>
      <c r="FE133" s="89" t="str">
        <f aca="false">IF(Tasks[[#This Row],[Task Name]]="","",IF(Tasks[[#This Row],[_IsSummary]],MAX(INDEX(Tasks[_ShownCalcFinish],Tasks[[#This Row],[_Row]]+1):INDEX(Tasks[_ShownCalcFinish],Tasks[[#This Row],[_Row]]+Tasks[[#This Row],[_Descendants]])),Tasks[[#This Row],[_ShownCalcFinish]]))</f>
        <v/>
      </c>
      <c r="FF1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3" s="42" t="n">
        <f aca="false">IF(AND(Tasks[[#This Row],[_IsLeaf]]=1,Tasks[[#This Row],[_LeafTotalWork]]&gt;0),NETWORKDAYS.INTL(ProjectStart,Tasks[[#This Row],[_ShownFcstStart]],WorkWeek,Holidays),0)</f>
        <v>0</v>
      </c>
      <c r="FS133" s="42" t="n">
        <f aca="false">IF(AND(Tasks[[#This Row],[_IsLeaf]]=1,Tasks[[#This Row],[_LeafTotalWork]]&gt;0),MAX(Tasks[[#This Row],[_StartWorkday]],NETWORKDAYS.INTL(ProjectStart,Tasks[[#This Row],[_ShownFcstFinish]],WorkWeek,Holidays)),0)</f>
        <v>0</v>
      </c>
      <c r="FT133" s="42" t="n">
        <f aca="false">IF(AND(Tasks[[#This Row],[_IsLeaf]]=1,Tasks[[#This Row],[_LeafTotalWork]]&gt;0),Tasks[[#This Row],[_LeafWork]]/(Tasks[[#This Row],[_FinishWorkday]]-Tasks[[#This Row],[_StartWorkday]]+1),0)</f>
        <v>0</v>
      </c>
      <c r="FU133" s="42" t="n">
        <f aca="false">Tasks[[#This Row],[_WorkPerWorkday]]*(Tasks[[#This Row],[_StartWorkday]]-1)</f>
        <v>-0</v>
      </c>
      <c r="FV133" s="42" t="n">
        <f aca="false">IF(Tasks[[#This Row],[_IsLeaf]]=1,MAX(N(Tasks[[#This Row],[_Days]]),0.1),0)</f>
        <v>0</v>
      </c>
      <c r="FW133" s="42" t="n">
        <f aca="false">Tasks[[#This Row],[_WeightDur]]*Tasks[[#This Row],[_LeafProgress]]</f>
        <v>0</v>
      </c>
      <c r="FX133" s="42" t="n">
        <f aca="false">Tasks[[#This Row],[_WeightDur]]*Tasks[[#This Row],[_PlannedPct]]</f>
        <v>0</v>
      </c>
      <c r="FY1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3" s="42" t="str">
        <f aca="false">IF(AND(Tasks[[#This Row],[_IsLeaf]]=1,N(Tasks[[#This Row],[_Days]])=0,Tasks[[#This Row],[_LeafProgress]]&lt;1),Tasks[[#This Row],[_ShownFcstFinish]]+Tasks[[#This Row],[_Row]]/100000,"")</f>
        <v/>
      </c>
      <c r="GA1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3" s="42" t="str">
        <f aca="false">IF(Tasks[[#This Row],[Task Name]]="","",LEFT(Tasks[[#This Row],[WBS]],FIND(".",Tasks[[#This Row],[WBS]]&amp;".")-1))</f>
        <v/>
      </c>
      <c r="GC133" s="42" t="str">
        <f aca="false">IF(AND(Tasks[[#This Row],[Task Name]]&lt;&gt;"",Tasks[[#This Row],[_Level]]=1),Tasks[[#This Row],[_Row]],"")</f>
        <v/>
      </c>
      <c r="GD133" s="42" t="str">
        <f aca="false">IF(AND(Tasks[[#This Row],[_IsLeaf]]=1,N(Tasks[[#This Row],[_Days]])=0),Tasks[[#This Row],[Planned Finish]]+Tasks[[#This Row],[_Row]]/100000,"")</f>
        <v/>
      </c>
      <c r="GE133" s="42" t="str">
        <f aca="false">IF(AND(Tasks[[#This Row],[_IsLeaf]]=1,Tasks[[#This Row],[_LeafProgress]]&lt;1,OR(N(Tasks[[#This Row],[Finish Var]])&gt;0,Tasks[[#This Row],[Status]]="Late Start")),MAX(0,Tasks[[#This Row],[Finish Var]])+1-Tasks[[#This Row],[_Row]]/1000000,"")</f>
        <v/>
      </c>
      <c r="GF133" s="42" t="str">
        <f aca="false">IF(AND(Tasks[[#This Row],[_IsLeaf]]=1,N(Tasks[[#This Row],[Actual Start]])=0,Tasks[[#This Row],[_ShownFcstStart]]&gt;=StatusDate,Tasks[[#This Row],[_ShownFcstStart]]&lt;=LookaheadEnd),Tasks[[#This Row],[_ShownFcstStart]]+Tasks[[#This Row],[_Row]]/100000,"")</f>
        <v/>
      </c>
      <c r="GG133" s="42" t="str">
        <f aca="false">IF(AND(Tasks[[#This Row],[_IsLeaf]]=1,Tasks[[#This Row],[_LeafProgress]]&lt;1,Tasks[[#This Row],[_ShownFcstFinish]]&gt;=StatusDate,Tasks[[#This Row],[_ShownFcstFinish]]&lt;=LookaheadEnd),Tasks[[#This Row],[_ShownFcstFinish]]+Tasks[[#This Row],[_Row]]/100000,"")</f>
        <v/>
      </c>
      <c r="GH133" s="42" t="str">
        <f aca="false">IF(Tasks[[#This Row],[_LeafCritical]],Tasks[[#This Row],[_ShownFcstStart]]+Tasks[[#This Row],[_Row]]/100000,"")</f>
        <v/>
      </c>
      <c r="GI133" s="42" t="n">
        <f aca="false">Tasks[[#This Row],[_LeafWork]]*Tasks[[#This Row],[_LeafProgress]]</f>
        <v>0</v>
      </c>
      <c r="GJ133" s="89" t="str">
        <f aca="false">IF(AND(Tasks[[#This Row],[_IsLeaf]]=1,Tasks[[#This Row],[_LeafProgress]]&gt;=1),IF(N(Tasks[[#This Row],[Actual Finish]])&gt;0,Tasks[[#This Row],[Actual Finish]],Tasks[[#This Row],[_ShownFcstFinish]]),"")</f>
        <v/>
      </c>
      <c r="GK133" s="42" t="n">
        <f aca="false">IF(Tasks[[#This Row],[_IsLeaf]]=1,N(Tasks[[#This Row],[Story Points]]),0)</f>
        <v>0</v>
      </c>
      <c r="GL133" s="42" t="str">
        <f aca="false">""</f>
        <v/>
      </c>
      <c r="GM133" s="88" t="b">
        <f aca="false">IF(Tasks[[#This Row],[Task Name]]="",FALSE(),AND(Tasks[[#This Row],[_IsLeaf]]=1,N(Tasks[[#This Row],[_Days]])=0))</f>
        <v>0</v>
      </c>
      <c r="GN133" s="89" t="n">
        <f aca="false">IF(Tasks[[#This Row],[Task Name]]="",0,IF(AND(Tasks[[#This Row],[_IsLeaf]]=1,NOT(Tasks[[#This Row],[_IsMilestone]]),N(Tasks[[#This Row],[Progress]])&gt;0),Tasks[[#This Row],[Start]],0))</f>
        <v>0</v>
      </c>
      <c r="GO133" s="89" t="n">
        <f aca="false">IF(Tasks[[#This Row],[_DoneFrom]]=0,0,IF(Tasks[[#This Row],[Progress]]&gt;=1,Tasks[[#This Row],[Finish]],MAX(Tasks[[#This Row],[_DoneFrom]],Tasks[[#This Row],[Start]]+ROUND((Tasks[[#This Row],[Finish]]-Tasks[[#This Row],[Start]]+1)*Tasks[[#This Row],[Progress]],0)-1)))</f>
        <v>0</v>
      </c>
      <c r="GP133" s="89" t="n">
        <f aca="false">IF(Tasks[[#This Row],[Task Name]]="",0,IF(OR(NOT(Tasks[[#This Row],[_IsLeaf]]=1),Tasks[[#This Row],[_IsMilestone]],N(Tasks[[#This Row],[Progress]])&gt;=1),0,IF(Tasks[[#This Row],[_DoneTo]]&gt;0,Tasks[[#This Row],[_DoneTo]]+1,Tasks[[#This Row],[Start]])))</f>
        <v>0</v>
      </c>
      <c r="GQ133" s="89" t="n">
        <f aca="false">IF(Tasks[[#This Row],[_RemFrom]]=0,0,Tasks[[#This Row],[Finish]])</f>
        <v>0</v>
      </c>
      <c r="GR133" s="88" t="b">
        <f aca="false">IF(Tasks[[#This Row],[Task Name]]="",FALSE(),OR(NOT(BaselineSet),N(Tasks[[#This Row],[Baseline Start]])&gt;0))</f>
        <v>0</v>
      </c>
      <c r="GS1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3" s="90" t="str">
        <f aca="false">IF(Tasks[[#This Row],[_IsLeaf]]=1,Tasks[[#This Row],[_Row]],"")</f>
        <v/>
      </c>
      <c r="GW133" s="90" t="str">
        <f aca="false">IFERROR(INDEX(Tasks[UID],SMALL(Tasks[_PickKey],Tasks[[#This Row],[_Row]]))&amp;" "&amp;INDEX(Tasks[Task Name],SMALL(Tasks[_PickKey],Tasks[[#This Row],[_Row]])),"")</f>
        <v/>
      </c>
      <c r="GX133" s="42" t="str">
        <f aca="false">IF(Tasks[[#This Row],[Task Name]]="","",IF(Tasks[[#This Row],[_IsSummary]],NETWORKDAYS.INTL(Tasks[[#This Row],[Start]],Tasks[[#This Row],[Finish]],WorkWeek,Holidays),N(Tasks[[#This Row],[_Days]])))</f>
        <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3"/>
      <c r="U134" s="23"/>
      <c r="V134" s="83"/>
      <c r="W134" s="23"/>
      <c r="X134" s="83"/>
      <c r="Y134" s="23"/>
      <c r="Z134" s="83"/>
      <c r="AA134" s="23"/>
      <c r="AB134" s="23"/>
      <c r="AC134" s="7"/>
      <c r="AD134" s="7"/>
      <c r="AE134" s="62" t="str">
        <f aca="false">IF(Tasks[[#This Row],[Task Name]]="","",IF(Tasks[[#This Row],[_IsSummary]],MIN(INDEX(Tasks[_ShownFcstStart],Tasks[[#This Row],[_Row]]+1):INDEX(Tasks[_ShownFcstStart],Tasks[[#This Row],[_Row]]+Tasks[[#This Row],[_Descendants]])),Tasks[[#This Row],[_ShownFcstStart]]))</f>
        <v/>
      </c>
      <c r="AF134" s="62"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4" s="7"/>
      <c r="AK134" s="22"/>
      <c r="AL134" s="23"/>
      <c r="AM134" s="7"/>
      <c r="AN134" s="46"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2" t="str">
        <f aca="false">IF(Tasks[[#This Row],[Task Name]]="","",IF(N(Tasks[[#This Row],[Baseline Start]])&gt;0,Tasks[[#This Row],[Baseline Start]],Tasks[[#This Row],[_CalcStart]]))</f>
        <v/>
      </c>
      <c r="AR134" s="62" t="str">
        <f aca="false">IF(Tasks[[#This Row],[Task Name]]="","",IF(N(Tasks[[#This Row],[Baseline Finish]])&gt;0,Tasks[[#This Row],[Baseline Finish]],Tasks[[#This Row],[_CalcFinish]]))</f>
        <v/>
      </c>
      <c r="AS134" s="46" t="str">
        <f aca="false">IF(Tasks[[#This Row],[Task Name]]="","",IF(Tasks[[#This Row],[Start]]&gt;=Tasks[[#This Row],[Planned Start]],NETWORKDAYS.INTL(Tasks[[#This Row],[Planned Start]],Tasks[[#This Row],[Start]],WorkWeek,Holidays)-1,1-NETWORKDAYS.INTL(Tasks[[#This Row],[Start]],Tasks[[#This Row],[Planned Start]],WorkWeek,Holidays)))</f>
        <v/>
      </c>
      <c r="AT134" s="62" t="str">
        <f aca="false">IF(Tasks[[#This Row],[Task Name]]="","",IF(Tasks[[#This Row],[_IsSummary]],MIN(INDEX(Tasks[_LeafLateStart],Tasks[[#This Row],[_Row]]+1):INDEX(Tasks[_LeafLateStart],Tasks[[#This Row],[_Row]]+Tasks[[#This Row],[_Descendants]])),Tasks[[#This Row],[_LeafLateStart]]))</f>
        <v/>
      </c>
      <c r="AU134" s="62" t="str">
        <f aca="false">IF(Tasks[[#This Row],[Task Name]]="","",IF(Tasks[[#This Row],[_IsSummary]],MAX(INDEX(Tasks[_LeafLateFinish],Tasks[[#This Row],[_Row]]+1):INDEX(Tasks[_LeafLateFinish],Tasks[[#This Row],[_Row]]+Tasks[[#This Row],[_Descendants]])),Tasks[[#This Row],[_LeafLateFinish]]))</f>
        <v/>
      </c>
      <c r="AV134" s="46"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4"/>
      <c r="BA1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5"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6"/>
      <c r="BJ134" s="22"/>
      <c r="BK134" s="46" t="str">
        <f aca="false">IF(OR(Tasks[[#This Row],[Task Name]]="",Tasks[[#This Row],[Baseline Duration]]=""),"",Tasks[[#This Row],[_SpanDays]]-N(Tasks[[#This Row],[Baseline Duration]]))</f>
        <v/>
      </c>
      <c r="BL134" s="85" t="str">
        <f aca="false">IF(OR(Tasks[[#This Row],[Task Name]]="",Tasks[[#This Row],[Baseline Work]]=""),"",Tasks[[#This Row],[Work]]-N(Tasks[[#This Row],[Baseline Work]]))</f>
        <v/>
      </c>
      <c r="BM134" s="62" t="str">
        <f aca="false">IF(Tasks[[#This Row],[Task Name]]="","",IF(OR(TakeBaseline="Yes",N(Tasks[[#This Row],[Baseline Start]])=0),Tasks[[#This Row],[Start]],Tasks[[#This Row],[Baseline Start]]))</f>
        <v/>
      </c>
      <c r="BN134" s="62"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5" t="str">
        <f aca="false">IF(Tasks[[#This Row],[Task Name]]="","",IF(OR(TakeBaseline="Yes",N(Tasks[[#This Row],[Baseline Work]])=0),Tasks[[#This Row],[Work]],Tasks[[#This Row],[Baseline Work]]))</f>
        <v/>
      </c>
      <c r="BQ134" s="7"/>
      <c r="BR134" s="7"/>
      <c r="BS134" s="22"/>
      <c r="BT134" s="87"/>
      <c r="BU134" s="42" t="str">
        <f aca="false">IF(Tasks[[#This Row],[Task Name]]="","",MAX(1,N(Tasks[[#This Row],[Level]])))</f>
        <v/>
      </c>
      <c r="BV134" s="42" t="n">
        <f aca="false">ROW()-ROW(Tasks[[#Headers],[ID]])</f>
        <v>129</v>
      </c>
      <c r="BW134" s="42" t="n">
        <f aca="false">IF(OR(Tasks[[#This Row],[Task Name]]="",Tasks[[#This Row],[_Level]]&lt;=1),0,IFERROR(LOOKUP(2,1/(Tasks[[#Headers],[_Level]]:Tasks[[#This Row],[_Level]]=Tasks[[#This Row],[_Level]]-1),ROW(Tasks[[#Headers],[_Level]]:Tasks[[#This Row],[_Level]])),0))</f>
        <v>0</v>
      </c>
      <c r="BX134" s="42" t="n">
        <f aca="false">IFERROR(N(INDEX(Tasks[_Level],Tasks[[#This Row],[_Row]]+1)),0)</f>
        <v>0</v>
      </c>
      <c r="BY134" s="88" t="b">
        <f aca="false">AND(Tasks[[#This Row],[Task Name]]&lt;&gt;"",Tasks[[#This Row],[_NextLevel]]&gt;Tasks[[#This Row],[_Level]])</f>
        <v>0</v>
      </c>
      <c r="BZ134" s="42" t="n">
        <f aca="false">IF(Tasks[[#This Row],[_IsSummary]],COUNTIF(Tasks[WBS],Tasks[[#This Row],[WBS]]&amp;".*"),0)</f>
        <v>0</v>
      </c>
      <c r="CA134" s="42" t="n">
        <f aca="false">IF(AND(Tasks[[#This Row],[Task Name]]&lt;&gt;"",NOT(Tasks[[#This Row],[_IsSummary]])),1,0)</f>
        <v>0</v>
      </c>
      <c r="CB134" s="42" t="n">
        <f aca="false">IF(N(Tasks[[#This Row],[_Pred1UID]])=0,0,IFERROR(MATCH(Tasks[[#This Row],[_Pred1UID]],Tasks[UID],0),-1))</f>
        <v>0</v>
      </c>
      <c r="CC134" s="42" t="n">
        <f aca="false">IF(N(Tasks[[#This Row],[_Pred2UID]])=0,0,IFERROR(MATCH(Tasks[[#This Row],[_Pred2UID]],Tasks[UID],0),-1))</f>
        <v>0</v>
      </c>
      <c r="CD134" s="42" t="n">
        <f aca="false">IF(N(Tasks[[#This Row],[_Pred3UID]])=0,0,IFERROR(MATCH(Tasks[[#This Row],[_Pred3UID]],Tasks[UID],0),-1))</f>
        <v>0</v>
      </c>
      <c r="CE134" s="42" t="n">
        <f aca="false">IF(N(Tasks[[#This Row],[_Pred4UID]])=0,0,IFERROR(MATCH(Tasks[[#This Row],[_Pred4UID]],Tasks[UID],0),-1))</f>
        <v>0</v>
      </c>
      <c r="CF1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4" s="89" t="n">
        <f aca="false">IF(OR(Tasks[[#This Row],[_ConstraintCode]]=2,Tasks[[#This Row],[_ConstraintCode]]=3,Tasks[[#This Row],[_ConstraintCode]]=4,Tasks[[#This Row],[_ConstraintCode]]=6),Tasks[[#This Row],[_ConstraintStart]],0)</f>
        <v>0</v>
      </c>
      <c r="CI134" s="89" t="n">
        <f aca="false">IF(OR(Tasks[[#This Row],[_ConstraintCode]]=2,Tasks[[#This Row],[_ConstraintCode]]=3,Tasks[[#This Row],[_ConstraintCode]]=5,Tasks[[#This Row],[_ConstraintCode]]=7),Tasks[[#This Row],[_ConstraintStart]],2958465)</f>
        <v>2958465</v>
      </c>
      <c r="CJ1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4" s="89" t="str">
        <f aca="false">IF(NOT(Tasks[[#This Row],[_IsLeaf]]=1),"",IF(N(Tasks[[#This Row],[_Days]])&lt;=0,Tasks[[#This Row],[_LeafCalcStart]],WORKDAY.INTL(Tasks[[#This Row],[_LeafCalcStart]],Tasks[[#This Row],[_Days]]-1,WorkWeek,Holidays)))</f>
        <v/>
      </c>
      <c r="CL1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4" s="42" t="str">
        <f aca="false">IF(Tasks[[#This Row],[_Predecessors]]="","",TRIM(MID(SUBSTITUTE(SUBSTITUTE(SUBSTITUTE(UPPER(Tasks[[#This Row],[_Predecessors]]),";",",")," ",""),",",REPT(" ",99)),1,99)))</f>
        <v/>
      </c>
      <c r="CO134" s="42" t="str">
        <f aca="false">IF(Tasks[[#This Row],[_Pred1Text]]="","",IFERROR(VALUE(LEFT(Tasks[[#This Row],[_Pred1Text]],MIN(FIND("F",Tasks[[#This Row],[_Pred1Text]]&amp;"F"),FIND("S",Tasks[[#This Row],[_Pred1Text]]&amp;"S"),FIND("+",Tasks[[#This Row],[_Pred1Text]]&amp;"+"),FIND("-",Tasks[[#This Row],[_Pred1Text]]&amp;"-"))-1)),""))</f>
        <v/>
      </c>
      <c r="CP1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4" s="42" t="str">
        <f aca="false">IF(Tasks[[#This Row],[_Pred1Text]]="","",TRIM(MID(SUBSTITUTE(SUBSTITUTE(SUBSTITUTE(UPPER(Tasks[[#This Row],[_Predecessors]]),";",",")," ",""),",",REPT(" ",99)),100,99)))</f>
        <v/>
      </c>
      <c r="CS134" s="42" t="str">
        <f aca="false">IF(Tasks[[#This Row],[_Pred2Text]]="","",IFERROR(VALUE(LEFT(Tasks[[#This Row],[_Pred2Text]],MIN(FIND("F",Tasks[[#This Row],[_Pred2Text]]&amp;"F"),FIND("S",Tasks[[#This Row],[_Pred2Text]]&amp;"S"),FIND("+",Tasks[[#This Row],[_Pred2Text]]&amp;"+"),FIND("-",Tasks[[#This Row],[_Pred2Text]]&amp;"-"))-1)),""))</f>
        <v/>
      </c>
      <c r="CT1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4" s="42" t="str">
        <f aca="false">IF(Tasks[[#This Row],[_Pred2Text]]="","",TRIM(MID(SUBSTITUTE(SUBSTITUTE(SUBSTITUTE(UPPER(Tasks[[#This Row],[_Predecessors]]),";",",")," ",""),",",REPT(" ",99)),199,99)))</f>
        <v/>
      </c>
      <c r="CW134" s="42" t="str">
        <f aca="false">IF(Tasks[[#This Row],[_Pred3Text]]="","",IFERROR(VALUE(LEFT(Tasks[[#This Row],[_Pred3Text]],MIN(FIND("F",Tasks[[#This Row],[_Pred3Text]]&amp;"F"),FIND("S",Tasks[[#This Row],[_Pred3Text]]&amp;"S"),FIND("+",Tasks[[#This Row],[_Pred3Text]]&amp;"+"),FIND("-",Tasks[[#This Row],[_Pred3Text]]&amp;"-"))-1)),""))</f>
        <v/>
      </c>
      <c r="CX1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4" s="42" t="str">
        <f aca="false">IF(Tasks[[#This Row],[_Pred3Text]]="","",TRIM(MID(SUBSTITUTE(SUBSTITUTE(SUBSTITUTE(UPPER(Tasks[[#This Row],[_Predecessors]]),";",",")," ",""),",",REPT(" ",99)),298,99)))</f>
        <v/>
      </c>
      <c r="DA134" s="42" t="str">
        <f aca="false">IF(Tasks[[#This Row],[_Pred4Text]]="","",IFERROR(VALUE(LEFT(Tasks[[#This Row],[_Pred4Text]],MIN(FIND("F",Tasks[[#This Row],[_Pred4Text]]&amp;"F"),FIND("S",Tasks[[#This Row],[_Pred4Text]]&amp;"S"),FIND("+",Tasks[[#This Row],[_Pred4Text]]&amp;"+"),FIND("-",Tasks[[#This Row],[_Pred4Text]]&amp;"-"))-1)),""))</f>
        <v/>
      </c>
      <c r="DB1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4" s="42" t="str">
        <f aca="false">IF(OR(Tasks[[#This Row],[Task Name]]="",Tasks[[#This Row],[_Resources]]=""),"",TRIM(MID(SUBSTITUTE(Tasks[[#This Row],[_Resources]],",",REPT(" ",99)),1,99)))</f>
        <v/>
      </c>
      <c r="DE134" s="42" t="str">
        <f aca="false">IF(Tasks[[#This Row],[_Res1Text]]="","",TRIM(MID(SUBSTITUTE(Tasks[[#This Row],[_Resources]],",",REPT(" ",99)),100,99)))</f>
        <v/>
      </c>
      <c r="DF134" s="42" t="str">
        <f aca="false">IF(Tasks[[#This Row],[_Res2Text]]="","",TRIM(MID(SUBSTITUTE(Tasks[[#This Row],[_Resources]],",",REPT(" ",99)),199,99)))</f>
        <v/>
      </c>
      <c r="DG134" s="42" t="str">
        <f aca="false">IF(Tasks[[#This Row],[_Res3Text]]="","",TRIM(MID(SUBSTITUTE(Tasks[[#This Row],[_Resources]],",",REPT(" ",99)),298,99)))</f>
        <v/>
      </c>
      <c r="DH134" s="42" t="n">
        <f aca="false">IF(Tasks[[#This Row],[_Res1Text]]="",0,IFERROR(MATCH(TRIM(LEFT(Tasks[[#This Row],[_Res1Text]],FIND("[",Tasks[[#This Row],[_Res1Text]]&amp;"[")-1)),res_Name,0),IFERROR(MATCH(TRIM(LEFT(Tasks[[#This Row],[_Res1Text]],FIND("[",Tasks[[#This Row],[_Res1Text]]&amp;"[")-1)),res_Initials,0),0)))</f>
        <v>0</v>
      </c>
      <c r="DI134" s="42" t="n">
        <f aca="false">IF(Tasks[[#This Row],[_Res2Text]]="",0,IFERROR(MATCH(TRIM(LEFT(Tasks[[#This Row],[_Res2Text]],FIND("[",Tasks[[#This Row],[_Res2Text]]&amp;"[")-1)),res_Name,0),IFERROR(MATCH(TRIM(LEFT(Tasks[[#This Row],[_Res2Text]],FIND("[",Tasks[[#This Row],[_Res2Text]]&amp;"[")-1)),res_Initials,0),0)))</f>
        <v>0</v>
      </c>
      <c r="DJ134" s="42" t="n">
        <f aca="false">IF(Tasks[[#This Row],[_Res3Text]]="",0,IFERROR(MATCH(TRIM(LEFT(Tasks[[#This Row],[_Res3Text]],FIND("[",Tasks[[#This Row],[_Res3Text]]&amp;"[")-1)),res_Name,0),IFERROR(MATCH(TRIM(LEFT(Tasks[[#This Row],[_Res3Text]],FIND("[",Tasks[[#This Row],[_Res3Text]]&amp;"[")-1)),res_Initials,0),0)))</f>
        <v>0</v>
      </c>
      <c r="DK134" s="42" t="n">
        <f aca="false">IF(Tasks[[#This Row],[_Res4Text]]="",0,IFERROR(MATCH(TRIM(LEFT(Tasks[[#This Row],[_Res4Text]],FIND("[",Tasks[[#This Row],[_Res4Text]]&amp;"[")-1)),res_Name,0),IFERROR(MATCH(TRIM(LEFT(Tasks[[#This Row],[_Res4Text]],FIND("[",Tasks[[#This Row],[_Res4Text]]&amp;"[")-1)),res_Initials,0),0)))</f>
        <v>0</v>
      </c>
      <c r="DL134" s="42" t="str">
        <f aca="false">IF(Tasks[[#This Row],[_Res1Text]]="","",IF(Tasks[[#This Row],[_Res1Row]]&gt;0,INDEX(res_Name,Tasks[[#This Row],[_Res1Row]]),TRIM(LEFT(Tasks[[#This Row],[_Res1Text]],FIND("[",Tasks[[#This Row],[_Res1Text]]&amp;"[")-1))))</f>
        <v/>
      </c>
      <c r="DM1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4" s="42" t="n">
        <f aca="false">IF(NOT(Tasks[[#This Row],[_IsLeaf]]=1),0,(Tasks[[#This Row],[_Resource1]]&lt;&gt;"")+(Tasks[[#This Row],[_Res2]]&lt;&gt;"")+(Tasks[[#This Row],[_Res3]]&lt;&gt;"")+(Tasks[[#This Row],[_Res4]]&lt;&gt;""))</f>
        <v>0</v>
      </c>
      <c r="DO134" s="42" t="str">
        <f aca="false">IF(Tasks[[#This Row],[_Res2Text]]="","",IF(Tasks[[#This Row],[_Res2Row]]&gt;0,INDEX(res_Name,Tasks[[#This Row],[_Res2Row]]),TRIM(LEFT(Tasks[[#This Row],[_Res2Text]],FIND("[",Tasks[[#This Row],[_Res2Text]]&amp;"[")-1))))</f>
        <v/>
      </c>
      <c r="DP1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4" s="42" t="n">
        <f aca="false">IF(OR(NOT(Tasks[[#This Row],[_IsLeaf]]=1),Tasks[[#This Row],[_Res2Row]]=0),0,N(Tasks[[#This Row],[_Days]])*HoursPerDay*IF(Tasks[[#This Row],[_Res2Units]]="",DefaultUnits,Tasks[[#This Row],[_Res2Units]]))</f>
        <v>0</v>
      </c>
      <c r="DR134" s="42" t="n">
        <f aca="false">IF(AND(AND(Tasks[[#This Row],[_IsLeaf]]=1,Tasks[[#This Row],[_LeafTotalWork]]&gt;0),Tasks[[#This Row],[_Res2Work]]&gt;0),Tasks[[#This Row],[_Res2Work]]/(Tasks[[#This Row],[_FinishWorkday]]-Tasks[[#This Row],[_StartWorkday]]+1),0)</f>
        <v>0</v>
      </c>
      <c r="DS134" s="42" t="n">
        <f aca="false">Tasks[[#This Row],[_Res2WorkPerWD]]*MAX(0,Tasks[[#This Row],[_StartWorkday]]-1)</f>
        <v>0</v>
      </c>
      <c r="DT134" s="42" t="n">
        <f aca="false">Tasks[[#This Row],[_Res2Work]]*Tasks[[#This Row],[_LeafProgress]]</f>
        <v>0</v>
      </c>
      <c r="DU134" s="42" t="str">
        <f aca="false">IF(Tasks[[#This Row],[_Res3Text]]="","",IF(Tasks[[#This Row],[_Res3Row]]&gt;0,INDEX(res_Name,Tasks[[#This Row],[_Res3Row]]),TRIM(LEFT(Tasks[[#This Row],[_Res3Text]],FIND("[",Tasks[[#This Row],[_Res3Text]]&amp;"[")-1))))</f>
        <v/>
      </c>
      <c r="DV1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4" s="42" t="n">
        <f aca="false">IF(OR(NOT(Tasks[[#This Row],[_IsLeaf]]=1),Tasks[[#This Row],[_Res3Row]]=0),0,N(Tasks[[#This Row],[_Days]])*HoursPerDay*IF(Tasks[[#This Row],[_Res3Units]]="",DefaultUnits,Tasks[[#This Row],[_Res3Units]]))</f>
        <v>0</v>
      </c>
      <c r="DX134" s="42" t="n">
        <f aca="false">IF(AND(AND(Tasks[[#This Row],[_IsLeaf]]=1,Tasks[[#This Row],[_LeafTotalWork]]&gt;0),Tasks[[#This Row],[_Res3Work]]&gt;0),Tasks[[#This Row],[_Res3Work]]/(Tasks[[#This Row],[_FinishWorkday]]-Tasks[[#This Row],[_StartWorkday]]+1),0)</f>
        <v>0</v>
      </c>
      <c r="DY134" s="42" t="n">
        <f aca="false">Tasks[[#This Row],[_Res3WorkPerWD]]*MAX(0,Tasks[[#This Row],[_StartWorkday]]-1)</f>
        <v>0</v>
      </c>
      <c r="DZ134" s="42" t="n">
        <f aca="false">Tasks[[#This Row],[_Res3Work]]*Tasks[[#This Row],[_LeafProgress]]</f>
        <v>0</v>
      </c>
      <c r="EA134" s="42" t="str">
        <f aca="false">IF(Tasks[[#This Row],[_Res4Text]]="","",IF(Tasks[[#This Row],[_Res4Row]]&gt;0,INDEX(res_Name,Tasks[[#This Row],[_Res4Row]]),TRIM(LEFT(Tasks[[#This Row],[_Res4Text]],FIND("[",Tasks[[#This Row],[_Res4Text]]&amp;"[")-1))))</f>
        <v/>
      </c>
      <c r="EB1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4" s="42" t="n">
        <f aca="false">IF(OR(NOT(Tasks[[#This Row],[_IsLeaf]]=1),Tasks[[#This Row],[_Res4Row]]=0),0,N(Tasks[[#This Row],[_Days]])*HoursPerDay*IF(Tasks[[#This Row],[_Res4Units]]="",DefaultUnits,Tasks[[#This Row],[_Res4Units]]))</f>
        <v>0</v>
      </c>
      <c r="ED134" s="42" t="n">
        <f aca="false">IF(AND(AND(Tasks[[#This Row],[_IsLeaf]]=1,Tasks[[#This Row],[_LeafTotalWork]]&gt;0),Tasks[[#This Row],[_Res4Work]]&gt;0),Tasks[[#This Row],[_Res4Work]]/(Tasks[[#This Row],[_FinishWorkday]]-Tasks[[#This Row],[_StartWorkday]]+1),0)</f>
        <v>0</v>
      </c>
      <c r="EE134" s="42" t="n">
        <f aca="false">Tasks[[#This Row],[_Res4WorkPerWD]]*MAX(0,Tasks[[#This Row],[_StartWorkday]]-1)</f>
        <v>0</v>
      </c>
      <c r="EF134" s="42" t="n">
        <f aca="false">Tasks[[#This Row],[_Res4Work]]*Tasks[[#This Row],[_LeafProgress]]</f>
        <v>0</v>
      </c>
      <c r="EG134" s="42" t="n">
        <f aca="false">IF(ISNUMBER(Tasks[[#This Row],[% Complete]]),Tasks[[#This Row],[% Complete]],IF(Tasks[[#This Row],[Stage]]="",0,IFERROR(INDEX(stg_Pct,MATCH(Tasks[[#This Row],[Stage]],stg_Name,0)),0)))</f>
        <v>0</v>
      </c>
      <c r="EH134" s="42" t="n">
        <f aca="false">IF(NOT(Tasks[[#This Row],[_IsLeaf]]=1),0,IF(N(Tasks[[#This Row],[Actual Finish]])&gt;0,1,MIN(1,Tasks[[#This Row],[_Pct]])))</f>
        <v>0</v>
      </c>
      <c r="EI134" s="42" t="n">
        <f aca="false">IF(OR(NOT(Tasks[[#This Row],[_IsLeaf]]=1),Tasks[[#This Row],[_Res1Row]]=0),0,N(Tasks[[#This Row],[_Days]])*HoursPerDay*IF(Tasks[[#This Row],[_Units1]]="",DefaultUnits,Tasks[[#This Row],[_Units1]]))</f>
        <v>0</v>
      </c>
      <c r="EJ134" s="42" t="n">
        <f aca="false">Tasks[[#This Row],[_LeafWork]]+Tasks[[#This Row],[_Res2Work]]+Tasks[[#This Row],[_Res3Work]]+Tasks[[#This Row],[_Res4Work]]</f>
        <v>0</v>
      </c>
      <c r="EK1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4" s="42" t="n">
        <f aca="false">IF(NOT(Tasks[[#This Row],[_IsLeaf]]=1),0,MAX(_xlfn.MAXIFS(Tasks[_Row],Tasks[_Pred1UID],Tasks[[#This Row],[UID]]),_xlfn.MAXIFS(Tasks[_Row],Tasks[_Pred2UID],Tasks[[#This Row],[UID]]),_xlfn.MAXIFS(Tasks[_Row],Tasks[_Pred3UID],Tasks[[#This Row],[UID]]),_xlfn.MAXIFS(Tasks[_Row],Tasks[_Pred4UID],Tasks[[#This Row],[UID]])))</f>
        <v>0</v>
      </c>
      <c r="ET1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4" s="89" t="str">
        <f aca="false">IF(NOT(Tasks[[#This Row],[_IsLeaf]]=1),"",IF(N(Tasks[[#This Row],[_Days]])&lt;=0,Tasks[[#This Row],[_LeafLateFinish]],WORKDAY.INTL(Tasks[[#This Row],[_LeafLateFinish]],-(Tasks[[#This Row],[_Days]]-1),WorkWeek,Holidays)))</f>
        <v/>
      </c>
      <c r="EW1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4" s="88" t="b">
        <f aca="false">AND(Tasks[[#This Row],[_IsLeaf]]=1,Tasks[[#This Row],[_LeafProgress]]&lt;1,N(Tasks[[#This Row],[_LeafTotalSlack]])&lt;=CriticalSlackDays)</f>
        <v>0</v>
      </c>
      <c r="EY134" s="42" t="n">
        <f aca="false">IF(AND(Tasks[[#This Row],[_IsLeaf]]=1,Tasks[[#This Row],[_ConstraintCode]]=1,Tasks[[#This Row],[Mode]]&lt;&gt;"Manual",N(Tasks[[#This Row],[Actual Start]])=0),MAX(0,N(Tasks[[#This Row],[Free Slack]])),0)</f>
        <v>0</v>
      </c>
      <c r="EZ134" s="89" t="str">
        <f aca="false">IF(NOT(Tasks[[#This Row],[_IsLeaf]]=1),"",IF(Tasks[[#This Row],[_AlapShift]]=0,Tasks[[#This Row],[_LeafCalcStart]],WORKDAY.INTL(Tasks[[#This Row],[_LeafCalcStart]],Tasks[[#This Row],[_AlapShift]],WorkWeek,Holidays)))</f>
        <v/>
      </c>
      <c r="FA134" s="89" t="str">
        <f aca="false">IF(NOT(Tasks[[#This Row],[_IsLeaf]]=1),"",IF(Tasks[[#This Row],[_AlapShift]]=0,Tasks[[#This Row],[_LeafCalcFinish]],WORKDAY.INTL(Tasks[[#This Row],[_LeafCalcFinish]],Tasks[[#This Row],[_AlapShift]],WorkWeek,Holidays)))</f>
        <v/>
      </c>
      <c r="FB134" s="89" t="str">
        <f aca="false">IF(NOT(Tasks[[#This Row],[_IsLeaf]]=1),"",IF(Tasks[[#This Row],[_AlapShift]]=0,Tasks[[#This Row],[_LeafFcstStart]],WORKDAY.INTL(Tasks[[#This Row],[_LeafFcstStart]],Tasks[[#This Row],[_AlapShift]],WorkWeek,Holidays)))</f>
        <v/>
      </c>
      <c r="FC134" s="89" t="str">
        <f aca="false">IF(NOT(Tasks[[#This Row],[_IsLeaf]]=1),"",IF(Tasks[[#This Row],[_AlapShift]]=0,Tasks[[#This Row],[_LeafFcstFinish]],WORKDAY.INTL(Tasks[[#This Row],[_LeafFcstFinish]],Tasks[[#This Row],[_AlapShift]],WorkWeek,Holidays)))</f>
        <v/>
      </c>
      <c r="FD134" s="89" t="str">
        <f aca="false">IF(Tasks[[#This Row],[Task Name]]="","",IF(Tasks[[#This Row],[_IsSummary]],MIN(INDEX(Tasks[_ShownCalcStart],Tasks[[#This Row],[_Row]]+1):INDEX(Tasks[_ShownCalcStart],Tasks[[#This Row],[_Row]]+Tasks[[#This Row],[_Descendants]])),Tasks[[#This Row],[_ShownCalcStart]]))</f>
        <v/>
      </c>
      <c r="FE134" s="89" t="str">
        <f aca="false">IF(Tasks[[#This Row],[Task Name]]="","",IF(Tasks[[#This Row],[_IsSummary]],MAX(INDEX(Tasks[_ShownCalcFinish],Tasks[[#This Row],[_Row]]+1):INDEX(Tasks[_ShownCalcFinish],Tasks[[#This Row],[_Row]]+Tasks[[#This Row],[_Descendants]])),Tasks[[#This Row],[_ShownCalcFinish]]))</f>
        <v/>
      </c>
      <c r="FF1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4" s="42" t="n">
        <f aca="false">IF(AND(Tasks[[#This Row],[_IsLeaf]]=1,Tasks[[#This Row],[_LeafTotalWork]]&gt;0),NETWORKDAYS.INTL(ProjectStart,Tasks[[#This Row],[_ShownFcstStart]],WorkWeek,Holidays),0)</f>
        <v>0</v>
      </c>
      <c r="FS134" s="42" t="n">
        <f aca="false">IF(AND(Tasks[[#This Row],[_IsLeaf]]=1,Tasks[[#This Row],[_LeafTotalWork]]&gt;0),MAX(Tasks[[#This Row],[_StartWorkday]],NETWORKDAYS.INTL(ProjectStart,Tasks[[#This Row],[_ShownFcstFinish]],WorkWeek,Holidays)),0)</f>
        <v>0</v>
      </c>
      <c r="FT134" s="42" t="n">
        <f aca="false">IF(AND(Tasks[[#This Row],[_IsLeaf]]=1,Tasks[[#This Row],[_LeafTotalWork]]&gt;0),Tasks[[#This Row],[_LeafWork]]/(Tasks[[#This Row],[_FinishWorkday]]-Tasks[[#This Row],[_StartWorkday]]+1),0)</f>
        <v>0</v>
      </c>
      <c r="FU134" s="42" t="n">
        <f aca="false">Tasks[[#This Row],[_WorkPerWorkday]]*(Tasks[[#This Row],[_StartWorkday]]-1)</f>
        <v>-0</v>
      </c>
      <c r="FV134" s="42" t="n">
        <f aca="false">IF(Tasks[[#This Row],[_IsLeaf]]=1,MAX(N(Tasks[[#This Row],[_Days]]),0.1),0)</f>
        <v>0</v>
      </c>
      <c r="FW134" s="42" t="n">
        <f aca="false">Tasks[[#This Row],[_WeightDur]]*Tasks[[#This Row],[_LeafProgress]]</f>
        <v>0</v>
      </c>
      <c r="FX134" s="42" t="n">
        <f aca="false">Tasks[[#This Row],[_WeightDur]]*Tasks[[#This Row],[_PlannedPct]]</f>
        <v>0</v>
      </c>
      <c r="FY1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4" s="42" t="str">
        <f aca="false">IF(AND(Tasks[[#This Row],[_IsLeaf]]=1,N(Tasks[[#This Row],[_Days]])=0,Tasks[[#This Row],[_LeafProgress]]&lt;1),Tasks[[#This Row],[_ShownFcstFinish]]+Tasks[[#This Row],[_Row]]/100000,"")</f>
        <v/>
      </c>
      <c r="GA1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4" s="42" t="str">
        <f aca="false">IF(Tasks[[#This Row],[Task Name]]="","",LEFT(Tasks[[#This Row],[WBS]],FIND(".",Tasks[[#This Row],[WBS]]&amp;".")-1))</f>
        <v/>
      </c>
      <c r="GC134" s="42" t="str">
        <f aca="false">IF(AND(Tasks[[#This Row],[Task Name]]&lt;&gt;"",Tasks[[#This Row],[_Level]]=1),Tasks[[#This Row],[_Row]],"")</f>
        <v/>
      </c>
      <c r="GD134" s="42" t="str">
        <f aca="false">IF(AND(Tasks[[#This Row],[_IsLeaf]]=1,N(Tasks[[#This Row],[_Days]])=0),Tasks[[#This Row],[Planned Finish]]+Tasks[[#This Row],[_Row]]/100000,"")</f>
        <v/>
      </c>
      <c r="GE134" s="42" t="str">
        <f aca="false">IF(AND(Tasks[[#This Row],[_IsLeaf]]=1,Tasks[[#This Row],[_LeafProgress]]&lt;1,OR(N(Tasks[[#This Row],[Finish Var]])&gt;0,Tasks[[#This Row],[Status]]="Late Start")),MAX(0,Tasks[[#This Row],[Finish Var]])+1-Tasks[[#This Row],[_Row]]/1000000,"")</f>
        <v/>
      </c>
      <c r="GF134" s="42" t="str">
        <f aca="false">IF(AND(Tasks[[#This Row],[_IsLeaf]]=1,N(Tasks[[#This Row],[Actual Start]])=0,Tasks[[#This Row],[_ShownFcstStart]]&gt;=StatusDate,Tasks[[#This Row],[_ShownFcstStart]]&lt;=LookaheadEnd),Tasks[[#This Row],[_ShownFcstStart]]+Tasks[[#This Row],[_Row]]/100000,"")</f>
        <v/>
      </c>
      <c r="GG134" s="42" t="str">
        <f aca="false">IF(AND(Tasks[[#This Row],[_IsLeaf]]=1,Tasks[[#This Row],[_LeafProgress]]&lt;1,Tasks[[#This Row],[_ShownFcstFinish]]&gt;=StatusDate,Tasks[[#This Row],[_ShownFcstFinish]]&lt;=LookaheadEnd),Tasks[[#This Row],[_ShownFcstFinish]]+Tasks[[#This Row],[_Row]]/100000,"")</f>
        <v/>
      </c>
      <c r="GH134" s="42" t="str">
        <f aca="false">IF(Tasks[[#This Row],[_LeafCritical]],Tasks[[#This Row],[_ShownFcstStart]]+Tasks[[#This Row],[_Row]]/100000,"")</f>
        <v/>
      </c>
      <c r="GI134" s="42" t="n">
        <f aca="false">Tasks[[#This Row],[_LeafWork]]*Tasks[[#This Row],[_LeafProgress]]</f>
        <v>0</v>
      </c>
      <c r="GJ134" s="89" t="str">
        <f aca="false">IF(AND(Tasks[[#This Row],[_IsLeaf]]=1,Tasks[[#This Row],[_LeafProgress]]&gt;=1),IF(N(Tasks[[#This Row],[Actual Finish]])&gt;0,Tasks[[#This Row],[Actual Finish]],Tasks[[#This Row],[_ShownFcstFinish]]),"")</f>
        <v/>
      </c>
      <c r="GK134" s="42" t="n">
        <f aca="false">IF(Tasks[[#This Row],[_IsLeaf]]=1,N(Tasks[[#This Row],[Story Points]]),0)</f>
        <v>0</v>
      </c>
      <c r="GL134" s="42" t="str">
        <f aca="false">""</f>
        <v/>
      </c>
      <c r="GM134" s="88" t="b">
        <f aca="false">IF(Tasks[[#This Row],[Task Name]]="",FALSE(),AND(Tasks[[#This Row],[_IsLeaf]]=1,N(Tasks[[#This Row],[_Days]])=0))</f>
        <v>0</v>
      </c>
      <c r="GN134" s="89" t="n">
        <f aca="false">IF(Tasks[[#This Row],[Task Name]]="",0,IF(AND(Tasks[[#This Row],[_IsLeaf]]=1,NOT(Tasks[[#This Row],[_IsMilestone]]),N(Tasks[[#This Row],[Progress]])&gt;0),Tasks[[#This Row],[Start]],0))</f>
        <v>0</v>
      </c>
      <c r="GO134" s="89" t="n">
        <f aca="false">IF(Tasks[[#This Row],[_DoneFrom]]=0,0,IF(Tasks[[#This Row],[Progress]]&gt;=1,Tasks[[#This Row],[Finish]],MAX(Tasks[[#This Row],[_DoneFrom]],Tasks[[#This Row],[Start]]+ROUND((Tasks[[#This Row],[Finish]]-Tasks[[#This Row],[Start]]+1)*Tasks[[#This Row],[Progress]],0)-1)))</f>
        <v>0</v>
      </c>
      <c r="GP134" s="89" t="n">
        <f aca="false">IF(Tasks[[#This Row],[Task Name]]="",0,IF(OR(NOT(Tasks[[#This Row],[_IsLeaf]]=1),Tasks[[#This Row],[_IsMilestone]],N(Tasks[[#This Row],[Progress]])&gt;=1),0,IF(Tasks[[#This Row],[_DoneTo]]&gt;0,Tasks[[#This Row],[_DoneTo]]+1,Tasks[[#This Row],[Start]])))</f>
        <v>0</v>
      </c>
      <c r="GQ134" s="89" t="n">
        <f aca="false">IF(Tasks[[#This Row],[_RemFrom]]=0,0,Tasks[[#This Row],[Finish]])</f>
        <v>0</v>
      </c>
      <c r="GR134" s="88" t="b">
        <f aca="false">IF(Tasks[[#This Row],[Task Name]]="",FALSE(),OR(NOT(BaselineSet),N(Tasks[[#This Row],[Baseline Start]])&gt;0))</f>
        <v>0</v>
      </c>
      <c r="GS1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4" s="90" t="str">
        <f aca="false">IF(Tasks[[#This Row],[_IsLeaf]]=1,Tasks[[#This Row],[_Row]],"")</f>
        <v/>
      </c>
      <c r="GW134" s="90" t="str">
        <f aca="false">IFERROR(INDEX(Tasks[UID],SMALL(Tasks[_PickKey],Tasks[[#This Row],[_Row]]))&amp;" "&amp;INDEX(Tasks[Task Name],SMALL(Tasks[_PickKey],Tasks[[#This Row],[_Row]])),"")</f>
        <v/>
      </c>
      <c r="GX134" s="42" t="str">
        <f aca="false">IF(Tasks[[#This Row],[Task Name]]="","",IF(Tasks[[#This Row],[_IsSummary]],NETWORKDAYS.INTL(Tasks[[#This Row],[Start]],Tasks[[#This Row],[Finish]],WorkWeek,Holidays),N(Tasks[[#This Row],[_Days]])))</f>
        <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3"/>
      <c r="U135" s="23"/>
      <c r="V135" s="83"/>
      <c r="W135" s="23"/>
      <c r="X135" s="83"/>
      <c r="Y135" s="23"/>
      <c r="Z135" s="83"/>
      <c r="AA135" s="23"/>
      <c r="AB135" s="23"/>
      <c r="AC135" s="7"/>
      <c r="AD135" s="7"/>
      <c r="AE135" s="62" t="str">
        <f aca="false">IF(Tasks[[#This Row],[Task Name]]="","",IF(Tasks[[#This Row],[_IsSummary]],MIN(INDEX(Tasks[_ShownFcstStart],Tasks[[#This Row],[_Row]]+1):INDEX(Tasks[_ShownFcstStart],Tasks[[#This Row],[_Row]]+Tasks[[#This Row],[_Descendants]])),Tasks[[#This Row],[_ShownFcstStart]]))</f>
        <v/>
      </c>
      <c r="AF135" s="62"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5" s="7"/>
      <c r="AK135" s="22"/>
      <c r="AL135" s="23"/>
      <c r="AM135" s="7"/>
      <c r="AN135" s="46"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2" t="str">
        <f aca="false">IF(Tasks[[#This Row],[Task Name]]="","",IF(N(Tasks[[#This Row],[Baseline Start]])&gt;0,Tasks[[#This Row],[Baseline Start]],Tasks[[#This Row],[_CalcStart]]))</f>
        <v/>
      </c>
      <c r="AR135" s="62" t="str">
        <f aca="false">IF(Tasks[[#This Row],[Task Name]]="","",IF(N(Tasks[[#This Row],[Baseline Finish]])&gt;0,Tasks[[#This Row],[Baseline Finish]],Tasks[[#This Row],[_CalcFinish]]))</f>
        <v/>
      </c>
      <c r="AS135" s="46" t="str">
        <f aca="false">IF(Tasks[[#This Row],[Task Name]]="","",IF(Tasks[[#This Row],[Start]]&gt;=Tasks[[#This Row],[Planned Start]],NETWORKDAYS.INTL(Tasks[[#This Row],[Planned Start]],Tasks[[#This Row],[Start]],WorkWeek,Holidays)-1,1-NETWORKDAYS.INTL(Tasks[[#This Row],[Start]],Tasks[[#This Row],[Planned Start]],WorkWeek,Holidays)))</f>
        <v/>
      </c>
      <c r="AT135" s="62" t="str">
        <f aca="false">IF(Tasks[[#This Row],[Task Name]]="","",IF(Tasks[[#This Row],[_IsSummary]],MIN(INDEX(Tasks[_LeafLateStart],Tasks[[#This Row],[_Row]]+1):INDEX(Tasks[_LeafLateStart],Tasks[[#This Row],[_Row]]+Tasks[[#This Row],[_Descendants]])),Tasks[[#This Row],[_LeafLateStart]]))</f>
        <v/>
      </c>
      <c r="AU135" s="62" t="str">
        <f aca="false">IF(Tasks[[#This Row],[Task Name]]="","",IF(Tasks[[#This Row],[_IsSummary]],MAX(INDEX(Tasks[_LeafLateFinish],Tasks[[#This Row],[_Row]]+1):INDEX(Tasks[_LeafLateFinish],Tasks[[#This Row],[_Row]]+Tasks[[#This Row],[_Descendants]])),Tasks[[#This Row],[_LeafLateFinish]]))</f>
        <v/>
      </c>
      <c r="AV135" s="46"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4"/>
      <c r="BA1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5"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6"/>
      <c r="BJ135" s="22"/>
      <c r="BK135" s="46" t="str">
        <f aca="false">IF(OR(Tasks[[#This Row],[Task Name]]="",Tasks[[#This Row],[Baseline Duration]]=""),"",Tasks[[#This Row],[_SpanDays]]-N(Tasks[[#This Row],[Baseline Duration]]))</f>
        <v/>
      </c>
      <c r="BL135" s="85" t="str">
        <f aca="false">IF(OR(Tasks[[#This Row],[Task Name]]="",Tasks[[#This Row],[Baseline Work]]=""),"",Tasks[[#This Row],[Work]]-N(Tasks[[#This Row],[Baseline Work]]))</f>
        <v/>
      </c>
      <c r="BM135" s="62" t="str">
        <f aca="false">IF(Tasks[[#This Row],[Task Name]]="","",IF(OR(TakeBaseline="Yes",N(Tasks[[#This Row],[Baseline Start]])=0),Tasks[[#This Row],[Start]],Tasks[[#This Row],[Baseline Start]]))</f>
        <v/>
      </c>
      <c r="BN135" s="62"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5" t="str">
        <f aca="false">IF(Tasks[[#This Row],[Task Name]]="","",IF(OR(TakeBaseline="Yes",N(Tasks[[#This Row],[Baseline Work]])=0),Tasks[[#This Row],[Work]],Tasks[[#This Row],[Baseline Work]]))</f>
        <v/>
      </c>
      <c r="BQ135" s="7"/>
      <c r="BR135" s="7"/>
      <c r="BS135" s="22"/>
      <c r="BT135" s="87"/>
      <c r="BU135" s="42" t="str">
        <f aca="false">IF(Tasks[[#This Row],[Task Name]]="","",MAX(1,N(Tasks[[#This Row],[Level]])))</f>
        <v/>
      </c>
      <c r="BV135" s="42" t="n">
        <f aca="false">ROW()-ROW(Tasks[[#Headers],[ID]])</f>
        <v>130</v>
      </c>
      <c r="BW135" s="42" t="n">
        <f aca="false">IF(OR(Tasks[[#This Row],[Task Name]]="",Tasks[[#This Row],[_Level]]&lt;=1),0,IFERROR(LOOKUP(2,1/(Tasks[[#Headers],[_Level]]:Tasks[[#This Row],[_Level]]=Tasks[[#This Row],[_Level]]-1),ROW(Tasks[[#Headers],[_Level]]:Tasks[[#This Row],[_Level]])),0))</f>
        <v>0</v>
      </c>
      <c r="BX135" s="42" t="n">
        <f aca="false">IFERROR(N(INDEX(Tasks[_Level],Tasks[[#This Row],[_Row]]+1)),0)</f>
        <v>0</v>
      </c>
      <c r="BY135" s="88" t="b">
        <f aca="false">AND(Tasks[[#This Row],[Task Name]]&lt;&gt;"",Tasks[[#This Row],[_NextLevel]]&gt;Tasks[[#This Row],[_Level]])</f>
        <v>0</v>
      </c>
      <c r="BZ135" s="42" t="n">
        <f aca="false">IF(Tasks[[#This Row],[_IsSummary]],COUNTIF(Tasks[WBS],Tasks[[#This Row],[WBS]]&amp;".*"),0)</f>
        <v>0</v>
      </c>
      <c r="CA135" s="42" t="n">
        <f aca="false">IF(AND(Tasks[[#This Row],[Task Name]]&lt;&gt;"",NOT(Tasks[[#This Row],[_IsSummary]])),1,0)</f>
        <v>0</v>
      </c>
      <c r="CB135" s="42" t="n">
        <f aca="false">IF(N(Tasks[[#This Row],[_Pred1UID]])=0,0,IFERROR(MATCH(Tasks[[#This Row],[_Pred1UID]],Tasks[UID],0),-1))</f>
        <v>0</v>
      </c>
      <c r="CC135" s="42" t="n">
        <f aca="false">IF(N(Tasks[[#This Row],[_Pred2UID]])=0,0,IFERROR(MATCH(Tasks[[#This Row],[_Pred2UID]],Tasks[UID],0),-1))</f>
        <v>0</v>
      </c>
      <c r="CD135" s="42" t="n">
        <f aca="false">IF(N(Tasks[[#This Row],[_Pred3UID]])=0,0,IFERROR(MATCH(Tasks[[#This Row],[_Pred3UID]],Tasks[UID],0),-1))</f>
        <v>0</v>
      </c>
      <c r="CE135" s="42" t="n">
        <f aca="false">IF(N(Tasks[[#This Row],[_Pred4UID]])=0,0,IFERROR(MATCH(Tasks[[#This Row],[_Pred4UID]],Tasks[UID],0),-1))</f>
        <v>0</v>
      </c>
      <c r="CF1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5" s="89" t="n">
        <f aca="false">IF(OR(Tasks[[#This Row],[_ConstraintCode]]=2,Tasks[[#This Row],[_ConstraintCode]]=3,Tasks[[#This Row],[_ConstraintCode]]=4,Tasks[[#This Row],[_ConstraintCode]]=6),Tasks[[#This Row],[_ConstraintStart]],0)</f>
        <v>0</v>
      </c>
      <c r="CI135" s="89" t="n">
        <f aca="false">IF(OR(Tasks[[#This Row],[_ConstraintCode]]=2,Tasks[[#This Row],[_ConstraintCode]]=3,Tasks[[#This Row],[_ConstraintCode]]=5,Tasks[[#This Row],[_ConstraintCode]]=7),Tasks[[#This Row],[_ConstraintStart]],2958465)</f>
        <v>2958465</v>
      </c>
      <c r="CJ1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5" s="89" t="str">
        <f aca="false">IF(NOT(Tasks[[#This Row],[_IsLeaf]]=1),"",IF(N(Tasks[[#This Row],[_Days]])&lt;=0,Tasks[[#This Row],[_LeafCalcStart]],WORKDAY.INTL(Tasks[[#This Row],[_LeafCalcStart]],Tasks[[#This Row],[_Days]]-1,WorkWeek,Holidays)))</f>
        <v/>
      </c>
      <c r="CL1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5" s="42" t="str">
        <f aca="false">IF(Tasks[[#This Row],[_Predecessors]]="","",TRIM(MID(SUBSTITUTE(SUBSTITUTE(SUBSTITUTE(UPPER(Tasks[[#This Row],[_Predecessors]]),";",",")," ",""),",",REPT(" ",99)),1,99)))</f>
        <v/>
      </c>
      <c r="CO135" s="42" t="str">
        <f aca="false">IF(Tasks[[#This Row],[_Pred1Text]]="","",IFERROR(VALUE(LEFT(Tasks[[#This Row],[_Pred1Text]],MIN(FIND("F",Tasks[[#This Row],[_Pred1Text]]&amp;"F"),FIND("S",Tasks[[#This Row],[_Pred1Text]]&amp;"S"),FIND("+",Tasks[[#This Row],[_Pred1Text]]&amp;"+"),FIND("-",Tasks[[#This Row],[_Pred1Text]]&amp;"-"))-1)),""))</f>
        <v/>
      </c>
      <c r="CP1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5" s="42" t="str">
        <f aca="false">IF(Tasks[[#This Row],[_Pred1Text]]="","",TRIM(MID(SUBSTITUTE(SUBSTITUTE(SUBSTITUTE(UPPER(Tasks[[#This Row],[_Predecessors]]),";",",")," ",""),",",REPT(" ",99)),100,99)))</f>
        <v/>
      </c>
      <c r="CS135" s="42" t="str">
        <f aca="false">IF(Tasks[[#This Row],[_Pred2Text]]="","",IFERROR(VALUE(LEFT(Tasks[[#This Row],[_Pred2Text]],MIN(FIND("F",Tasks[[#This Row],[_Pred2Text]]&amp;"F"),FIND("S",Tasks[[#This Row],[_Pred2Text]]&amp;"S"),FIND("+",Tasks[[#This Row],[_Pred2Text]]&amp;"+"),FIND("-",Tasks[[#This Row],[_Pred2Text]]&amp;"-"))-1)),""))</f>
        <v/>
      </c>
      <c r="CT1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5" s="42" t="str">
        <f aca="false">IF(Tasks[[#This Row],[_Pred2Text]]="","",TRIM(MID(SUBSTITUTE(SUBSTITUTE(SUBSTITUTE(UPPER(Tasks[[#This Row],[_Predecessors]]),";",",")," ",""),",",REPT(" ",99)),199,99)))</f>
        <v/>
      </c>
      <c r="CW135" s="42" t="str">
        <f aca="false">IF(Tasks[[#This Row],[_Pred3Text]]="","",IFERROR(VALUE(LEFT(Tasks[[#This Row],[_Pred3Text]],MIN(FIND("F",Tasks[[#This Row],[_Pred3Text]]&amp;"F"),FIND("S",Tasks[[#This Row],[_Pred3Text]]&amp;"S"),FIND("+",Tasks[[#This Row],[_Pred3Text]]&amp;"+"),FIND("-",Tasks[[#This Row],[_Pred3Text]]&amp;"-"))-1)),""))</f>
        <v/>
      </c>
      <c r="CX1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5" s="42" t="str">
        <f aca="false">IF(Tasks[[#This Row],[_Pred3Text]]="","",TRIM(MID(SUBSTITUTE(SUBSTITUTE(SUBSTITUTE(UPPER(Tasks[[#This Row],[_Predecessors]]),";",",")," ",""),",",REPT(" ",99)),298,99)))</f>
        <v/>
      </c>
      <c r="DA135" s="42" t="str">
        <f aca="false">IF(Tasks[[#This Row],[_Pred4Text]]="","",IFERROR(VALUE(LEFT(Tasks[[#This Row],[_Pred4Text]],MIN(FIND("F",Tasks[[#This Row],[_Pred4Text]]&amp;"F"),FIND("S",Tasks[[#This Row],[_Pred4Text]]&amp;"S"),FIND("+",Tasks[[#This Row],[_Pred4Text]]&amp;"+"),FIND("-",Tasks[[#This Row],[_Pred4Text]]&amp;"-"))-1)),""))</f>
        <v/>
      </c>
      <c r="DB1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5" s="42" t="str">
        <f aca="false">IF(OR(Tasks[[#This Row],[Task Name]]="",Tasks[[#This Row],[_Resources]]=""),"",TRIM(MID(SUBSTITUTE(Tasks[[#This Row],[_Resources]],",",REPT(" ",99)),1,99)))</f>
        <v/>
      </c>
      <c r="DE135" s="42" t="str">
        <f aca="false">IF(Tasks[[#This Row],[_Res1Text]]="","",TRIM(MID(SUBSTITUTE(Tasks[[#This Row],[_Resources]],",",REPT(" ",99)),100,99)))</f>
        <v/>
      </c>
      <c r="DF135" s="42" t="str">
        <f aca="false">IF(Tasks[[#This Row],[_Res2Text]]="","",TRIM(MID(SUBSTITUTE(Tasks[[#This Row],[_Resources]],",",REPT(" ",99)),199,99)))</f>
        <v/>
      </c>
      <c r="DG135" s="42" t="str">
        <f aca="false">IF(Tasks[[#This Row],[_Res3Text]]="","",TRIM(MID(SUBSTITUTE(Tasks[[#This Row],[_Resources]],",",REPT(" ",99)),298,99)))</f>
        <v/>
      </c>
      <c r="DH135" s="42" t="n">
        <f aca="false">IF(Tasks[[#This Row],[_Res1Text]]="",0,IFERROR(MATCH(TRIM(LEFT(Tasks[[#This Row],[_Res1Text]],FIND("[",Tasks[[#This Row],[_Res1Text]]&amp;"[")-1)),res_Name,0),IFERROR(MATCH(TRIM(LEFT(Tasks[[#This Row],[_Res1Text]],FIND("[",Tasks[[#This Row],[_Res1Text]]&amp;"[")-1)),res_Initials,0),0)))</f>
        <v>0</v>
      </c>
      <c r="DI135" s="42" t="n">
        <f aca="false">IF(Tasks[[#This Row],[_Res2Text]]="",0,IFERROR(MATCH(TRIM(LEFT(Tasks[[#This Row],[_Res2Text]],FIND("[",Tasks[[#This Row],[_Res2Text]]&amp;"[")-1)),res_Name,0),IFERROR(MATCH(TRIM(LEFT(Tasks[[#This Row],[_Res2Text]],FIND("[",Tasks[[#This Row],[_Res2Text]]&amp;"[")-1)),res_Initials,0),0)))</f>
        <v>0</v>
      </c>
      <c r="DJ135" s="42" t="n">
        <f aca="false">IF(Tasks[[#This Row],[_Res3Text]]="",0,IFERROR(MATCH(TRIM(LEFT(Tasks[[#This Row],[_Res3Text]],FIND("[",Tasks[[#This Row],[_Res3Text]]&amp;"[")-1)),res_Name,0),IFERROR(MATCH(TRIM(LEFT(Tasks[[#This Row],[_Res3Text]],FIND("[",Tasks[[#This Row],[_Res3Text]]&amp;"[")-1)),res_Initials,0),0)))</f>
        <v>0</v>
      </c>
      <c r="DK135" s="42" t="n">
        <f aca="false">IF(Tasks[[#This Row],[_Res4Text]]="",0,IFERROR(MATCH(TRIM(LEFT(Tasks[[#This Row],[_Res4Text]],FIND("[",Tasks[[#This Row],[_Res4Text]]&amp;"[")-1)),res_Name,0),IFERROR(MATCH(TRIM(LEFT(Tasks[[#This Row],[_Res4Text]],FIND("[",Tasks[[#This Row],[_Res4Text]]&amp;"[")-1)),res_Initials,0),0)))</f>
        <v>0</v>
      </c>
      <c r="DL135" s="42" t="str">
        <f aca="false">IF(Tasks[[#This Row],[_Res1Text]]="","",IF(Tasks[[#This Row],[_Res1Row]]&gt;0,INDEX(res_Name,Tasks[[#This Row],[_Res1Row]]),TRIM(LEFT(Tasks[[#This Row],[_Res1Text]],FIND("[",Tasks[[#This Row],[_Res1Text]]&amp;"[")-1))))</f>
        <v/>
      </c>
      <c r="DM1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5" s="42" t="n">
        <f aca="false">IF(NOT(Tasks[[#This Row],[_IsLeaf]]=1),0,(Tasks[[#This Row],[_Resource1]]&lt;&gt;"")+(Tasks[[#This Row],[_Res2]]&lt;&gt;"")+(Tasks[[#This Row],[_Res3]]&lt;&gt;"")+(Tasks[[#This Row],[_Res4]]&lt;&gt;""))</f>
        <v>0</v>
      </c>
      <c r="DO135" s="42" t="str">
        <f aca="false">IF(Tasks[[#This Row],[_Res2Text]]="","",IF(Tasks[[#This Row],[_Res2Row]]&gt;0,INDEX(res_Name,Tasks[[#This Row],[_Res2Row]]),TRIM(LEFT(Tasks[[#This Row],[_Res2Text]],FIND("[",Tasks[[#This Row],[_Res2Text]]&amp;"[")-1))))</f>
        <v/>
      </c>
      <c r="DP1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5" s="42" t="n">
        <f aca="false">IF(OR(NOT(Tasks[[#This Row],[_IsLeaf]]=1),Tasks[[#This Row],[_Res2Row]]=0),0,N(Tasks[[#This Row],[_Days]])*HoursPerDay*IF(Tasks[[#This Row],[_Res2Units]]="",DefaultUnits,Tasks[[#This Row],[_Res2Units]]))</f>
        <v>0</v>
      </c>
      <c r="DR135" s="42" t="n">
        <f aca="false">IF(AND(AND(Tasks[[#This Row],[_IsLeaf]]=1,Tasks[[#This Row],[_LeafTotalWork]]&gt;0),Tasks[[#This Row],[_Res2Work]]&gt;0),Tasks[[#This Row],[_Res2Work]]/(Tasks[[#This Row],[_FinishWorkday]]-Tasks[[#This Row],[_StartWorkday]]+1),0)</f>
        <v>0</v>
      </c>
      <c r="DS135" s="42" t="n">
        <f aca="false">Tasks[[#This Row],[_Res2WorkPerWD]]*MAX(0,Tasks[[#This Row],[_StartWorkday]]-1)</f>
        <v>0</v>
      </c>
      <c r="DT135" s="42" t="n">
        <f aca="false">Tasks[[#This Row],[_Res2Work]]*Tasks[[#This Row],[_LeafProgress]]</f>
        <v>0</v>
      </c>
      <c r="DU135" s="42" t="str">
        <f aca="false">IF(Tasks[[#This Row],[_Res3Text]]="","",IF(Tasks[[#This Row],[_Res3Row]]&gt;0,INDEX(res_Name,Tasks[[#This Row],[_Res3Row]]),TRIM(LEFT(Tasks[[#This Row],[_Res3Text]],FIND("[",Tasks[[#This Row],[_Res3Text]]&amp;"[")-1))))</f>
        <v/>
      </c>
      <c r="DV1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5" s="42" t="n">
        <f aca="false">IF(OR(NOT(Tasks[[#This Row],[_IsLeaf]]=1),Tasks[[#This Row],[_Res3Row]]=0),0,N(Tasks[[#This Row],[_Days]])*HoursPerDay*IF(Tasks[[#This Row],[_Res3Units]]="",DefaultUnits,Tasks[[#This Row],[_Res3Units]]))</f>
        <v>0</v>
      </c>
      <c r="DX135" s="42" t="n">
        <f aca="false">IF(AND(AND(Tasks[[#This Row],[_IsLeaf]]=1,Tasks[[#This Row],[_LeafTotalWork]]&gt;0),Tasks[[#This Row],[_Res3Work]]&gt;0),Tasks[[#This Row],[_Res3Work]]/(Tasks[[#This Row],[_FinishWorkday]]-Tasks[[#This Row],[_StartWorkday]]+1),0)</f>
        <v>0</v>
      </c>
      <c r="DY135" s="42" t="n">
        <f aca="false">Tasks[[#This Row],[_Res3WorkPerWD]]*MAX(0,Tasks[[#This Row],[_StartWorkday]]-1)</f>
        <v>0</v>
      </c>
      <c r="DZ135" s="42" t="n">
        <f aca="false">Tasks[[#This Row],[_Res3Work]]*Tasks[[#This Row],[_LeafProgress]]</f>
        <v>0</v>
      </c>
      <c r="EA135" s="42" t="str">
        <f aca="false">IF(Tasks[[#This Row],[_Res4Text]]="","",IF(Tasks[[#This Row],[_Res4Row]]&gt;0,INDEX(res_Name,Tasks[[#This Row],[_Res4Row]]),TRIM(LEFT(Tasks[[#This Row],[_Res4Text]],FIND("[",Tasks[[#This Row],[_Res4Text]]&amp;"[")-1))))</f>
        <v/>
      </c>
      <c r="EB1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5" s="42" t="n">
        <f aca="false">IF(OR(NOT(Tasks[[#This Row],[_IsLeaf]]=1),Tasks[[#This Row],[_Res4Row]]=0),0,N(Tasks[[#This Row],[_Days]])*HoursPerDay*IF(Tasks[[#This Row],[_Res4Units]]="",DefaultUnits,Tasks[[#This Row],[_Res4Units]]))</f>
        <v>0</v>
      </c>
      <c r="ED135" s="42" t="n">
        <f aca="false">IF(AND(AND(Tasks[[#This Row],[_IsLeaf]]=1,Tasks[[#This Row],[_LeafTotalWork]]&gt;0),Tasks[[#This Row],[_Res4Work]]&gt;0),Tasks[[#This Row],[_Res4Work]]/(Tasks[[#This Row],[_FinishWorkday]]-Tasks[[#This Row],[_StartWorkday]]+1),0)</f>
        <v>0</v>
      </c>
      <c r="EE135" s="42" t="n">
        <f aca="false">Tasks[[#This Row],[_Res4WorkPerWD]]*MAX(0,Tasks[[#This Row],[_StartWorkday]]-1)</f>
        <v>0</v>
      </c>
      <c r="EF135" s="42" t="n">
        <f aca="false">Tasks[[#This Row],[_Res4Work]]*Tasks[[#This Row],[_LeafProgress]]</f>
        <v>0</v>
      </c>
      <c r="EG135" s="42" t="n">
        <f aca="false">IF(ISNUMBER(Tasks[[#This Row],[% Complete]]),Tasks[[#This Row],[% Complete]],IF(Tasks[[#This Row],[Stage]]="",0,IFERROR(INDEX(stg_Pct,MATCH(Tasks[[#This Row],[Stage]],stg_Name,0)),0)))</f>
        <v>0</v>
      </c>
      <c r="EH135" s="42" t="n">
        <f aca="false">IF(NOT(Tasks[[#This Row],[_IsLeaf]]=1),0,IF(N(Tasks[[#This Row],[Actual Finish]])&gt;0,1,MIN(1,Tasks[[#This Row],[_Pct]])))</f>
        <v>0</v>
      </c>
      <c r="EI135" s="42" t="n">
        <f aca="false">IF(OR(NOT(Tasks[[#This Row],[_IsLeaf]]=1),Tasks[[#This Row],[_Res1Row]]=0),0,N(Tasks[[#This Row],[_Days]])*HoursPerDay*IF(Tasks[[#This Row],[_Units1]]="",DefaultUnits,Tasks[[#This Row],[_Units1]]))</f>
        <v>0</v>
      </c>
      <c r="EJ135" s="42" t="n">
        <f aca="false">Tasks[[#This Row],[_LeafWork]]+Tasks[[#This Row],[_Res2Work]]+Tasks[[#This Row],[_Res3Work]]+Tasks[[#This Row],[_Res4Work]]</f>
        <v>0</v>
      </c>
      <c r="EK1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5" s="42" t="n">
        <f aca="false">IF(NOT(Tasks[[#This Row],[_IsLeaf]]=1),0,MAX(_xlfn.MAXIFS(Tasks[_Row],Tasks[_Pred1UID],Tasks[[#This Row],[UID]]),_xlfn.MAXIFS(Tasks[_Row],Tasks[_Pred2UID],Tasks[[#This Row],[UID]]),_xlfn.MAXIFS(Tasks[_Row],Tasks[_Pred3UID],Tasks[[#This Row],[UID]]),_xlfn.MAXIFS(Tasks[_Row],Tasks[_Pred4UID],Tasks[[#This Row],[UID]])))</f>
        <v>0</v>
      </c>
      <c r="ET1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5" s="89" t="str">
        <f aca="false">IF(NOT(Tasks[[#This Row],[_IsLeaf]]=1),"",IF(N(Tasks[[#This Row],[_Days]])&lt;=0,Tasks[[#This Row],[_LeafLateFinish]],WORKDAY.INTL(Tasks[[#This Row],[_LeafLateFinish]],-(Tasks[[#This Row],[_Days]]-1),WorkWeek,Holidays)))</f>
        <v/>
      </c>
      <c r="EW1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5" s="88" t="b">
        <f aca="false">AND(Tasks[[#This Row],[_IsLeaf]]=1,Tasks[[#This Row],[_LeafProgress]]&lt;1,N(Tasks[[#This Row],[_LeafTotalSlack]])&lt;=CriticalSlackDays)</f>
        <v>0</v>
      </c>
      <c r="EY135" s="42" t="n">
        <f aca="false">IF(AND(Tasks[[#This Row],[_IsLeaf]]=1,Tasks[[#This Row],[_ConstraintCode]]=1,Tasks[[#This Row],[Mode]]&lt;&gt;"Manual",N(Tasks[[#This Row],[Actual Start]])=0),MAX(0,N(Tasks[[#This Row],[Free Slack]])),0)</f>
        <v>0</v>
      </c>
      <c r="EZ135" s="89" t="str">
        <f aca="false">IF(NOT(Tasks[[#This Row],[_IsLeaf]]=1),"",IF(Tasks[[#This Row],[_AlapShift]]=0,Tasks[[#This Row],[_LeafCalcStart]],WORKDAY.INTL(Tasks[[#This Row],[_LeafCalcStart]],Tasks[[#This Row],[_AlapShift]],WorkWeek,Holidays)))</f>
        <v/>
      </c>
      <c r="FA135" s="89" t="str">
        <f aca="false">IF(NOT(Tasks[[#This Row],[_IsLeaf]]=1),"",IF(Tasks[[#This Row],[_AlapShift]]=0,Tasks[[#This Row],[_LeafCalcFinish]],WORKDAY.INTL(Tasks[[#This Row],[_LeafCalcFinish]],Tasks[[#This Row],[_AlapShift]],WorkWeek,Holidays)))</f>
        <v/>
      </c>
      <c r="FB135" s="89" t="str">
        <f aca="false">IF(NOT(Tasks[[#This Row],[_IsLeaf]]=1),"",IF(Tasks[[#This Row],[_AlapShift]]=0,Tasks[[#This Row],[_LeafFcstStart]],WORKDAY.INTL(Tasks[[#This Row],[_LeafFcstStart]],Tasks[[#This Row],[_AlapShift]],WorkWeek,Holidays)))</f>
        <v/>
      </c>
      <c r="FC135" s="89" t="str">
        <f aca="false">IF(NOT(Tasks[[#This Row],[_IsLeaf]]=1),"",IF(Tasks[[#This Row],[_AlapShift]]=0,Tasks[[#This Row],[_LeafFcstFinish]],WORKDAY.INTL(Tasks[[#This Row],[_LeafFcstFinish]],Tasks[[#This Row],[_AlapShift]],WorkWeek,Holidays)))</f>
        <v/>
      </c>
      <c r="FD135" s="89" t="str">
        <f aca="false">IF(Tasks[[#This Row],[Task Name]]="","",IF(Tasks[[#This Row],[_IsSummary]],MIN(INDEX(Tasks[_ShownCalcStart],Tasks[[#This Row],[_Row]]+1):INDEX(Tasks[_ShownCalcStart],Tasks[[#This Row],[_Row]]+Tasks[[#This Row],[_Descendants]])),Tasks[[#This Row],[_ShownCalcStart]]))</f>
        <v/>
      </c>
      <c r="FE135" s="89" t="str">
        <f aca="false">IF(Tasks[[#This Row],[Task Name]]="","",IF(Tasks[[#This Row],[_IsSummary]],MAX(INDEX(Tasks[_ShownCalcFinish],Tasks[[#This Row],[_Row]]+1):INDEX(Tasks[_ShownCalcFinish],Tasks[[#This Row],[_Row]]+Tasks[[#This Row],[_Descendants]])),Tasks[[#This Row],[_ShownCalcFinish]]))</f>
        <v/>
      </c>
      <c r="FF1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5" s="42" t="n">
        <f aca="false">IF(AND(Tasks[[#This Row],[_IsLeaf]]=1,Tasks[[#This Row],[_LeafTotalWork]]&gt;0),NETWORKDAYS.INTL(ProjectStart,Tasks[[#This Row],[_ShownFcstStart]],WorkWeek,Holidays),0)</f>
        <v>0</v>
      </c>
      <c r="FS135" s="42" t="n">
        <f aca="false">IF(AND(Tasks[[#This Row],[_IsLeaf]]=1,Tasks[[#This Row],[_LeafTotalWork]]&gt;0),MAX(Tasks[[#This Row],[_StartWorkday]],NETWORKDAYS.INTL(ProjectStart,Tasks[[#This Row],[_ShownFcstFinish]],WorkWeek,Holidays)),0)</f>
        <v>0</v>
      </c>
      <c r="FT135" s="42" t="n">
        <f aca="false">IF(AND(Tasks[[#This Row],[_IsLeaf]]=1,Tasks[[#This Row],[_LeafTotalWork]]&gt;0),Tasks[[#This Row],[_LeafWork]]/(Tasks[[#This Row],[_FinishWorkday]]-Tasks[[#This Row],[_StartWorkday]]+1),0)</f>
        <v>0</v>
      </c>
      <c r="FU135" s="42" t="n">
        <f aca="false">Tasks[[#This Row],[_WorkPerWorkday]]*(Tasks[[#This Row],[_StartWorkday]]-1)</f>
        <v>-0</v>
      </c>
      <c r="FV135" s="42" t="n">
        <f aca="false">IF(Tasks[[#This Row],[_IsLeaf]]=1,MAX(N(Tasks[[#This Row],[_Days]]),0.1),0)</f>
        <v>0</v>
      </c>
      <c r="FW135" s="42" t="n">
        <f aca="false">Tasks[[#This Row],[_WeightDur]]*Tasks[[#This Row],[_LeafProgress]]</f>
        <v>0</v>
      </c>
      <c r="FX135" s="42" t="n">
        <f aca="false">Tasks[[#This Row],[_WeightDur]]*Tasks[[#This Row],[_PlannedPct]]</f>
        <v>0</v>
      </c>
      <c r="FY1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5" s="42" t="str">
        <f aca="false">IF(AND(Tasks[[#This Row],[_IsLeaf]]=1,N(Tasks[[#This Row],[_Days]])=0,Tasks[[#This Row],[_LeafProgress]]&lt;1),Tasks[[#This Row],[_ShownFcstFinish]]+Tasks[[#This Row],[_Row]]/100000,"")</f>
        <v/>
      </c>
      <c r="GA1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5" s="42" t="str">
        <f aca="false">IF(Tasks[[#This Row],[Task Name]]="","",LEFT(Tasks[[#This Row],[WBS]],FIND(".",Tasks[[#This Row],[WBS]]&amp;".")-1))</f>
        <v/>
      </c>
      <c r="GC135" s="42" t="str">
        <f aca="false">IF(AND(Tasks[[#This Row],[Task Name]]&lt;&gt;"",Tasks[[#This Row],[_Level]]=1),Tasks[[#This Row],[_Row]],"")</f>
        <v/>
      </c>
      <c r="GD135" s="42" t="str">
        <f aca="false">IF(AND(Tasks[[#This Row],[_IsLeaf]]=1,N(Tasks[[#This Row],[_Days]])=0),Tasks[[#This Row],[Planned Finish]]+Tasks[[#This Row],[_Row]]/100000,"")</f>
        <v/>
      </c>
      <c r="GE135" s="42" t="str">
        <f aca="false">IF(AND(Tasks[[#This Row],[_IsLeaf]]=1,Tasks[[#This Row],[_LeafProgress]]&lt;1,OR(N(Tasks[[#This Row],[Finish Var]])&gt;0,Tasks[[#This Row],[Status]]="Late Start")),MAX(0,Tasks[[#This Row],[Finish Var]])+1-Tasks[[#This Row],[_Row]]/1000000,"")</f>
        <v/>
      </c>
      <c r="GF135" s="42" t="str">
        <f aca="false">IF(AND(Tasks[[#This Row],[_IsLeaf]]=1,N(Tasks[[#This Row],[Actual Start]])=0,Tasks[[#This Row],[_ShownFcstStart]]&gt;=StatusDate,Tasks[[#This Row],[_ShownFcstStart]]&lt;=LookaheadEnd),Tasks[[#This Row],[_ShownFcstStart]]+Tasks[[#This Row],[_Row]]/100000,"")</f>
        <v/>
      </c>
      <c r="GG135" s="42" t="str">
        <f aca="false">IF(AND(Tasks[[#This Row],[_IsLeaf]]=1,Tasks[[#This Row],[_LeafProgress]]&lt;1,Tasks[[#This Row],[_ShownFcstFinish]]&gt;=StatusDate,Tasks[[#This Row],[_ShownFcstFinish]]&lt;=LookaheadEnd),Tasks[[#This Row],[_ShownFcstFinish]]+Tasks[[#This Row],[_Row]]/100000,"")</f>
        <v/>
      </c>
      <c r="GH135" s="42" t="str">
        <f aca="false">IF(Tasks[[#This Row],[_LeafCritical]],Tasks[[#This Row],[_ShownFcstStart]]+Tasks[[#This Row],[_Row]]/100000,"")</f>
        <v/>
      </c>
      <c r="GI135" s="42" t="n">
        <f aca="false">Tasks[[#This Row],[_LeafWork]]*Tasks[[#This Row],[_LeafProgress]]</f>
        <v>0</v>
      </c>
      <c r="GJ135" s="89" t="str">
        <f aca="false">IF(AND(Tasks[[#This Row],[_IsLeaf]]=1,Tasks[[#This Row],[_LeafProgress]]&gt;=1),IF(N(Tasks[[#This Row],[Actual Finish]])&gt;0,Tasks[[#This Row],[Actual Finish]],Tasks[[#This Row],[_ShownFcstFinish]]),"")</f>
        <v/>
      </c>
      <c r="GK135" s="42" t="n">
        <f aca="false">IF(Tasks[[#This Row],[_IsLeaf]]=1,N(Tasks[[#This Row],[Story Points]]),0)</f>
        <v>0</v>
      </c>
      <c r="GL135" s="42" t="str">
        <f aca="false">""</f>
        <v/>
      </c>
      <c r="GM135" s="88" t="b">
        <f aca="false">IF(Tasks[[#This Row],[Task Name]]="",FALSE(),AND(Tasks[[#This Row],[_IsLeaf]]=1,N(Tasks[[#This Row],[_Days]])=0))</f>
        <v>0</v>
      </c>
      <c r="GN135" s="89" t="n">
        <f aca="false">IF(Tasks[[#This Row],[Task Name]]="",0,IF(AND(Tasks[[#This Row],[_IsLeaf]]=1,NOT(Tasks[[#This Row],[_IsMilestone]]),N(Tasks[[#This Row],[Progress]])&gt;0),Tasks[[#This Row],[Start]],0))</f>
        <v>0</v>
      </c>
      <c r="GO135" s="89" t="n">
        <f aca="false">IF(Tasks[[#This Row],[_DoneFrom]]=0,0,IF(Tasks[[#This Row],[Progress]]&gt;=1,Tasks[[#This Row],[Finish]],MAX(Tasks[[#This Row],[_DoneFrom]],Tasks[[#This Row],[Start]]+ROUND((Tasks[[#This Row],[Finish]]-Tasks[[#This Row],[Start]]+1)*Tasks[[#This Row],[Progress]],0)-1)))</f>
        <v>0</v>
      </c>
      <c r="GP135" s="89" t="n">
        <f aca="false">IF(Tasks[[#This Row],[Task Name]]="",0,IF(OR(NOT(Tasks[[#This Row],[_IsLeaf]]=1),Tasks[[#This Row],[_IsMilestone]],N(Tasks[[#This Row],[Progress]])&gt;=1),0,IF(Tasks[[#This Row],[_DoneTo]]&gt;0,Tasks[[#This Row],[_DoneTo]]+1,Tasks[[#This Row],[Start]])))</f>
        <v>0</v>
      </c>
      <c r="GQ135" s="89" t="n">
        <f aca="false">IF(Tasks[[#This Row],[_RemFrom]]=0,0,Tasks[[#This Row],[Finish]])</f>
        <v>0</v>
      </c>
      <c r="GR135" s="88" t="b">
        <f aca="false">IF(Tasks[[#This Row],[Task Name]]="",FALSE(),OR(NOT(BaselineSet),N(Tasks[[#This Row],[Baseline Start]])&gt;0))</f>
        <v>0</v>
      </c>
      <c r="GS1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5" s="90" t="str">
        <f aca="false">IF(Tasks[[#This Row],[_IsLeaf]]=1,Tasks[[#This Row],[_Row]],"")</f>
        <v/>
      </c>
      <c r="GW135" s="90" t="str">
        <f aca="false">IFERROR(INDEX(Tasks[UID],SMALL(Tasks[_PickKey],Tasks[[#This Row],[_Row]]))&amp;" "&amp;INDEX(Tasks[Task Name],SMALL(Tasks[_PickKey],Tasks[[#This Row],[_Row]])),"")</f>
        <v/>
      </c>
      <c r="GX135" s="42" t="str">
        <f aca="false">IF(Tasks[[#This Row],[Task Name]]="","",IF(Tasks[[#This Row],[_IsSummary]],NETWORKDAYS.INTL(Tasks[[#This Row],[Start]],Tasks[[#This Row],[Finish]],WorkWeek,Holidays),N(Tasks[[#This Row],[_Days]])))</f>
        <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3"/>
      <c r="U136" s="23"/>
      <c r="V136" s="83"/>
      <c r="W136" s="23"/>
      <c r="X136" s="83"/>
      <c r="Y136" s="23"/>
      <c r="Z136" s="83"/>
      <c r="AA136" s="23"/>
      <c r="AB136" s="23"/>
      <c r="AC136" s="7"/>
      <c r="AD136" s="7"/>
      <c r="AE136" s="62" t="str">
        <f aca="false">IF(Tasks[[#This Row],[Task Name]]="","",IF(Tasks[[#This Row],[_IsSummary]],MIN(INDEX(Tasks[_ShownFcstStart],Tasks[[#This Row],[_Row]]+1):INDEX(Tasks[_ShownFcstStart],Tasks[[#This Row],[_Row]]+Tasks[[#This Row],[_Descendants]])),Tasks[[#This Row],[_ShownFcstStart]]))</f>
        <v/>
      </c>
      <c r="AF136" s="62"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6" s="7"/>
      <c r="AK136" s="22"/>
      <c r="AL136" s="23"/>
      <c r="AM136" s="7"/>
      <c r="AN136" s="46"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2" t="str">
        <f aca="false">IF(Tasks[[#This Row],[Task Name]]="","",IF(N(Tasks[[#This Row],[Baseline Start]])&gt;0,Tasks[[#This Row],[Baseline Start]],Tasks[[#This Row],[_CalcStart]]))</f>
        <v/>
      </c>
      <c r="AR136" s="62" t="str">
        <f aca="false">IF(Tasks[[#This Row],[Task Name]]="","",IF(N(Tasks[[#This Row],[Baseline Finish]])&gt;0,Tasks[[#This Row],[Baseline Finish]],Tasks[[#This Row],[_CalcFinish]]))</f>
        <v/>
      </c>
      <c r="AS136" s="46" t="str">
        <f aca="false">IF(Tasks[[#This Row],[Task Name]]="","",IF(Tasks[[#This Row],[Start]]&gt;=Tasks[[#This Row],[Planned Start]],NETWORKDAYS.INTL(Tasks[[#This Row],[Planned Start]],Tasks[[#This Row],[Start]],WorkWeek,Holidays)-1,1-NETWORKDAYS.INTL(Tasks[[#This Row],[Start]],Tasks[[#This Row],[Planned Start]],WorkWeek,Holidays)))</f>
        <v/>
      </c>
      <c r="AT136" s="62" t="str">
        <f aca="false">IF(Tasks[[#This Row],[Task Name]]="","",IF(Tasks[[#This Row],[_IsSummary]],MIN(INDEX(Tasks[_LeafLateStart],Tasks[[#This Row],[_Row]]+1):INDEX(Tasks[_LeafLateStart],Tasks[[#This Row],[_Row]]+Tasks[[#This Row],[_Descendants]])),Tasks[[#This Row],[_LeafLateStart]]))</f>
        <v/>
      </c>
      <c r="AU136" s="62" t="str">
        <f aca="false">IF(Tasks[[#This Row],[Task Name]]="","",IF(Tasks[[#This Row],[_IsSummary]],MAX(INDEX(Tasks[_LeafLateFinish],Tasks[[#This Row],[_Row]]+1):INDEX(Tasks[_LeafLateFinish],Tasks[[#This Row],[_Row]]+Tasks[[#This Row],[_Descendants]])),Tasks[[#This Row],[_LeafLateFinish]]))</f>
        <v/>
      </c>
      <c r="AV136" s="46"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4"/>
      <c r="BA1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5"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6"/>
      <c r="BJ136" s="22"/>
      <c r="BK136" s="46" t="str">
        <f aca="false">IF(OR(Tasks[[#This Row],[Task Name]]="",Tasks[[#This Row],[Baseline Duration]]=""),"",Tasks[[#This Row],[_SpanDays]]-N(Tasks[[#This Row],[Baseline Duration]]))</f>
        <v/>
      </c>
      <c r="BL136" s="85" t="str">
        <f aca="false">IF(OR(Tasks[[#This Row],[Task Name]]="",Tasks[[#This Row],[Baseline Work]]=""),"",Tasks[[#This Row],[Work]]-N(Tasks[[#This Row],[Baseline Work]]))</f>
        <v/>
      </c>
      <c r="BM136" s="62" t="str">
        <f aca="false">IF(Tasks[[#This Row],[Task Name]]="","",IF(OR(TakeBaseline="Yes",N(Tasks[[#This Row],[Baseline Start]])=0),Tasks[[#This Row],[Start]],Tasks[[#This Row],[Baseline Start]]))</f>
        <v/>
      </c>
      <c r="BN136" s="62"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5" t="str">
        <f aca="false">IF(Tasks[[#This Row],[Task Name]]="","",IF(OR(TakeBaseline="Yes",N(Tasks[[#This Row],[Baseline Work]])=0),Tasks[[#This Row],[Work]],Tasks[[#This Row],[Baseline Work]]))</f>
        <v/>
      </c>
      <c r="BQ136" s="7"/>
      <c r="BR136" s="7"/>
      <c r="BS136" s="22"/>
      <c r="BT136" s="87"/>
      <c r="BU136" s="42" t="str">
        <f aca="false">IF(Tasks[[#This Row],[Task Name]]="","",MAX(1,N(Tasks[[#This Row],[Level]])))</f>
        <v/>
      </c>
      <c r="BV136" s="42" t="n">
        <f aca="false">ROW()-ROW(Tasks[[#Headers],[ID]])</f>
        <v>131</v>
      </c>
      <c r="BW136" s="42" t="n">
        <f aca="false">IF(OR(Tasks[[#This Row],[Task Name]]="",Tasks[[#This Row],[_Level]]&lt;=1),0,IFERROR(LOOKUP(2,1/(Tasks[[#Headers],[_Level]]:Tasks[[#This Row],[_Level]]=Tasks[[#This Row],[_Level]]-1),ROW(Tasks[[#Headers],[_Level]]:Tasks[[#This Row],[_Level]])),0))</f>
        <v>0</v>
      </c>
      <c r="BX136" s="42" t="n">
        <f aca="false">IFERROR(N(INDEX(Tasks[_Level],Tasks[[#This Row],[_Row]]+1)),0)</f>
        <v>0</v>
      </c>
      <c r="BY136" s="88" t="b">
        <f aca="false">AND(Tasks[[#This Row],[Task Name]]&lt;&gt;"",Tasks[[#This Row],[_NextLevel]]&gt;Tasks[[#This Row],[_Level]])</f>
        <v>0</v>
      </c>
      <c r="BZ136" s="42" t="n">
        <f aca="false">IF(Tasks[[#This Row],[_IsSummary]],COUNTIF(Tasks[WBS],Tasks[[#This Row],[WBS]]&amp;".*"),0)</f>
        <v>0</v>
      </c>
      <c r="CA136" s="42" t="n">
        <f aca="false">IF(AND(Tasks[[#This Row],[Task Name]]&lt;&gt;"",NOT(Tasks[[#This Row],[_IsSummary]])),1,0)</f>
        <v>0</v>
      </c>
      <c r="CB136" s="42" t="n">
        <f aca="false">IF(N(Tasks[[#This Row],[_Pred1UID]])=0,0,IFERROR(MATCH(Tasks[[#This Row],[_Pred1UID]],Tasks[UID],0),-1))</f>
        <v>0</v>
      </c>
      <c r="CC136" s="42" t="n">
        <f aca="false">IF(N(Tasks[[#This Row],[_Pred2UID]])=0,0,IFERROR(MATCH(Tasks[[#This Row],[_Pred2UID]],Tasks[UID],0),-1))</f>
        <v>0</v>
      </c>
      <c r="CD136" s="42" t="n">
        <f aca="false">IF(N(Tasks[[#This Row],[_Pred3UID]])=0,0,IFERROR(MATCH(Tasks[[#This Row],[_Pred3UID]],Tasks[UID],0),-1))</f>
        <v>0</v>
      </c>
      <c r="CE136" s="42" t="n">
        <f aca="false">IF(N(Tasks[[#This Row],[_Pred4UID]])=0,0,IFERROR(MATCH(Tasks[[#This Row],[_Pred4UID]],Tasks[UID],0),-1))</f>
        <v>0</v>
      </c>
      <c r="CF1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6" s="89" t="n">
        <f aca="false">IF(OR(Tasks[[#This Row],[_ConstraintCode]]=2,Tasks[[#This Row],[_ConstraintCode]]=3,Tasks[[#This Row],[_ConstraintCode]]=4,Tasks[[#This Row],[_ConstraintCode]]=6),Tasks[[#This Row],[_ConstraintStart]],0)</f>
        <v>0</v>
      </c>
      <c r="CI136" s="89" t="n">
        <f aca="false">IF(OR(Tasks[[#This Row],[_ConstraintCode]]=2,Tasks[[#This Row],[_ConstraintCode]]=3,Tasks[[#This Row],[_ConstraintCode]]=5,Tasks[[#This Row],[_ConstraintCode]]=7),Tasks[[#This Row],[_ConstraintStart]],2958465)</f>
        <v>2958465</v>
      </c>
      <c r="CJ1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6" s="89" t="str">
        <f aca="false">IF(NOT(Tasks[[#This Row],[_IsLeaf]]=1),"",IF(N(Tasks[[#This Row],[_Days]])&lt;=0,Tasks[[#This Row],[_LeafCalcStart]],WORKDAY.INTL(Tasks[[#This Row],[_LeafCalcStart]],Tasks[[#This Row],[_Days]]-1,WorkWeek,Holidays)))</f>
        <v/>
      </c>
      <c r="CL1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6" s="42" t="str">
        <f aca="false">IF(Tasks[[#This Row],[_Predecessors]]="","",TRIM(MID(SUBSTITUTE(SUBSTITUTE(SUBSTITUTE(UPPER(Tasks[[#This Row],[_Predecessors]]),";",",")," ",""),",",REPT(" ",99)),1,99)))</f>
        <v/>
      </c>
      <c r="CO136" s="42" t="str">
        <f aca="false">IF(Tasks[[#This Row],[_Pred1Text]]="","",IFERROR(VALUE(LEFT(Tasks[[#This Row],[_Pred1Text]],MIN(FIND("F",Tasks[[#This Row],[_Pred1Text]]&amp;"F"),FIND("S",Tasks[[#This Row],[_Pred1Text]]&amp;"S"),FIND("+",Tasks[[#This Row],[_Pred1Text]]&amp;"+"),FIND("-",Tasks[[#This Row],[_Pred1Text]]&amp;"-"))-1)),""))</f>
        <v/>
      </c>
      <c r="CP1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6" s="42" t="str">
        <f aca="false">IF(Tasks[[#This Row],[_Pred1Text]]="","",TRIM(MID(SUBSTITUTE(SUBSTITUTE(SUBSTITUTE(UPPER(Tasks[[#This Row],[_Predecessors]]),";",",")," ",""),",",REPT(" ",99)),100,99)))</f>
        <v/>
      </c>
      <c r="CS136" s="42" t="str">
        <f aca="false">IF(Tasks[[#This Row],[_Pred2Text]]="","",IFERROR(VALUE(LEFT(Tasks[[#This Row],[_Pred2Text]],MIN(FIND("F",Tasks[[#This Row],[_Pred2Text]]&amp;"F"),FIND("S",Tasks[[#This Row],[_Pred2Text]]&amp;"S"),FIND("+",Tasks[[#This Row],[_Pred2Text]]&amp;"+"),FIND("-",Tasks[[#This Row],[_Pred2Text]]&amp;"-"))-1)),""))</f>
        <v/>
      </c>
      <c r="CT1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6" s="42" t="str">
        <f aca="false">IF(Tasks[[#This Row],[_Pred2Text]]="","",TRIM(MID(SUBSTITUTE(SUBSTITUTE(SUBSTITUTE(UPPER(Tasks[[#This Row],[_Predecessors]]),";",",")," ",""),",",REPT(" ",99)),199,99)))</f>
        <v/>
      </c>
      <c r="CW136" s="42" t="str">
        <f aca="false">IF(Tasks[[#This Row],[_Pred3Text]]="","",IFERROR(VALUE(LEFT(Tasks[[#This Row],[_Pred3Text]],MIN(FIND("F",Tasks[[#This Row],[_Pred3Text]]&amp;"F"),FIND("S",Tasks[[#This Row],[_Pred3Text]]&amp;"S"),FIND("+",Tasks[[#This Row],[_Pred3Text]]&amp;"+"),FIND("-",Tasks[[#This Row],[_Pred3Text]]&amp;"-"))-1)),""))</f>
        <v/>
      </c>
      <c r="CX1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6" s="42" t="str">
        <f aca="false">IF(Tasks[[#This Row],[_Pred3Text]]="","",TRIM(MID(SUBSTITUTE(SUBSTITUTE(SUBSTITUTE(UPPER(Tasks[[#This Row],[_Predecessors]]),";",",")," ",""),",",REPT(" ",99)),298,99)))</f>
        <v/>
      </c>
      <c r="DA136" s="42" t="str">
        <f aca="false">IF(Tasks[[#This Row],[_Pred4Text]]="","",IFERROR(VALUE(LEFT(Tasks[[#This Row],[_Pred4Text]],MIN(FIND("F",Tasks[[#This Row],[_Pred4Text]]&amp;"F"),FIND("S",Tasks[[#This Row],[_Pred4Text]]&amp;"S"),FIND("+",Tasks[[#This Row],[_Pred4Text]]&amp;"+"),FIND("-",Tasks[[#This Row],[_Pred4Text]]&amp;"-"))-1)),""))</f>
        <v/>
      </c>
      <c r="DB1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6" s="42" t="str">
        <f aca="false">IF(OR(Tasks[[#This Row],[Task Name]]="",Tasks[[#This Row],[_Resources]]=""),"",TRIM(MID(SUBSTITUTE(Tasks[[#This Row],[_Resources]],",",REPT(" ",99)),1,99)))</f>
        <v/>
      </c>
      <c r="DE136" s="42" t="str">
        <f aca="false">IF(Tasks[[#This Row],[_Res1Text]]="","",TRIM(MID(SUBSTITUTE(Tasks[[#This Row],[_Resources]],",",REPT(" ",99)),100,99)))</f>
        <v/>
      </c>
      <c r="DF136" s="42" t="str">
        <f aca="false">IF(Tasks[[#This Row],[_Res2Text]]="","",TRIM(MID(SUBSTITUTE(Tasks[[#This Row],[_Resources]],",",REPT(" ",99)),199,99)))</f>
        <v/>
      </c>
      <c r="DG136" s="42" t="str">
        <f aca="false">IF(Tasks[[#This Row],[_Res3Text]]="","",TRIM(MID(SUBSTITUTE(Tasks[[#This Row],[_Resources]],",",REPT(" ",99)),298,99)))</f>
        <v/>
      </c>
      <c r="DH136" s="42" t="n">
        <f aca="false">IF(Tasks[[#This Row],[_Res1Text]]="",0,IFERROR(MATCH(TRIM(LEFT(Tasks[[#This Row],[_Res1Text]],FIND("[",Tasks[[#This Row],[_Res1Text]]&amp;"[")-1)),res_Name,0),IFERROR(MATCH(TRIM(LEFT(Tasks[[#This Row],[_Res1Text]],FIND("[",Tasks[[#This Row],[_Res1Text]]&amp;"[")-1)),res_Initials,0),0)))</f>
        <v>0</v>
      </c>
      <c r="DI136" s="42" t="n">
        <f aca="false">IF(Tasks[[#This Row],[_Res2Text]]="",0,IFERROR(MATCH(TRIM(LEFT(Tasks[[#This Row],[_Res2Text]],FIND("[",Tasks[[#This Row],[_Res2Text]]&amp;"[")-1)),res_Name,0),IFERROR(MATCH(TRIM(LEFT(Tasks[[#This Row],[_Res2Text]],FIND("[",Tasks[[#This Row],[_Res2Text]]&amp;"[")-1)),res_Initials,0),0)))</f>
        <v>0</v>
      </c>
      <c r="DJ136" s="42" t="n">
        <f aca="false">IF(Tasks[[#This Row],[_Res3Text]]="",0,IFERROR(MATCH(TRIM(LEFT(Tasks[[#This Row],[_Res3Text]],FIND("[",Tasks[[#This Row],[_Res3Text]]&amp;"[")-1)),res_Name,0),IFERROR(MATCH(TRIM(LEFT(Tasks[[#This Row],[_Res3Text]],FIND("[",Tasks[[#This Row],[_Res3Text]]&amp;"[")-1)),res_Initials,0),0)))</f>
        <v>0</v>
      </c>
      <c r="DK136" s="42" t="n">
        <f aca="false">IF(Tasks[[#This Row],[_Res4Text]]="",0,IFERROR(MATCH(TRIM(LEFT(Tasks[[#This Row],[_Res4Text]],FIND("[",Tasks[[#This Row],[_Res4Text]]&amp;"[")-1)),res_Name,0),IFERROR(MATCH(TRIM(LEFT(Tasks[[#This Row],[_Res4Text]],FIND("[",Tasks[[#This Row],[_Res4Text]]&amp;"[")-1)),res_Initials,0),0)))</f>
        <v>0</v>
      </c>
      <c r="DL136" s="42" t="str">
        <f aca="false">IF(Tasks[[#This Row],[_Res1Text]]="","",IF(Tasks[[#This Row],[_Res1Row]]&gt;0,INDEX(res_Name,Tasks[[#This Row],[_Res1Row]]),TRIM(LEFT(Tasks[[#This Row],[_Res1Text]],FIND("[",Tasks[[#This Row],[_Res1Text]]&amp;"[")-1))))</f>
        <v/>
      </c>
      <c r="DM1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6" s="42" t="n">
        <f aca="false">IF(NOT(Tasks[[#This Row],[_IsLeaf]]=1),0,(Tasks[[#This Row],[_Resource1]]&lt;&gt;"")+(Tasks[[#This Row],[_Res2]]&lt;&gt;"")+(Tasks[[#This Row],[_Res3]]&lt;&gt;"")+(Tasks[[#This Row],[_Res4]]&lt;&gt;""))</f>
        <v>0</v>
      </c>
      <c r="DO136" s="42" t="str">
        <f aca="false">IF(Tasks[[#This Row],[_Res2Text]]="","",IF(Tasks[[#This Row],[_Res2Row]]&gt;0,INDEX(res_Name,Tasks[[#This Row],[_Res2Row]]),TRIM(LEFT(Tasks[[#This Row],[_Res2Text]],FIND("[",Tasks[[#This Row],[_Res2Text]]&amp;"[")-1))))</f>
        <v/>
      </c>
      <c r="DP1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6" s="42" t="n">
        <f aca="false">IF(OR(NOT(Tasks[[#This Row],[_IsLeaf]]=1),Tasks[[#This Row],[_Res2Row]]=0),0,N(Tasks[[#This Row],[_Days]])*HoursPerDay*IF(Tasks[[#This Row],[_Res2Units]]="",DefaultUnits,Tasks[[#This Row],[_Res2Units]]))</f>
        <v>0</v>
      </c>
      <c r="DR136" s="42" t="n">
        <f aca="false">IF(AND(AND(Tasks[[#This Row],[_IsLeaf]]=1,Tasks[[#This Row],[_LeafTotalWork]]&gt;0),Tasks[[#This Row],[_Res2Work]]&gt;0),Tasks[[#This Row],[_Res2Work]]/(Tasks[[#This Row],[_FinishWorkday]]-Tasks[[#This Row],[_StartWorkday]]+1),0)</f>
        <v>0</v>
      </c>
      <c r="DS136" s="42" t="n">
        <f aca="false">Tasks[[#This Row],[_Res2WorkPerWD]]*MAX(0,Tasks[[#This Row],[_StartWorkday]]-1)</f>
        <v>0</v>
      </c>
      <c r="DT136" s="42" t="n">
        <f aca="false">Tasks[[#This Row],[_Res2Work]]*Tasks[[#This Row],[_LeafProgress]]</f>
        <v>0</v>
      </c>
      <c r="DU136" s="42" t="str">
        <f aca="false">IF(Tasks[[#This Row],[_Res3Text]]="","",IF(Tasks[[#This Row],[_Res3Row]]&gt;0,INDEX(res_Name,Tasks[[#This Row],[_Res3Row]]),TRIM(LEFT(Tasks[[#This Row],[_Res3Text]],FIND("[",Tasks[[#This Row],[_Res3Text]]&amp;"[")-1))))</f>
        <v/>
      </c>
      <c r="DV1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6" s="42" t="n">
        <f aca="false">IF(OR(NOT(Tasks[[#This Row],[_IsLeaf]]=1),Tasks[[#This Row],[_Res3Row]]=0),0,N(Tasks[[#This Row],[_Days]])*HoursPerDay*IF(Tasks[[#This Row],[_Res3Units]]="",DefaultUnits,Tasks[[#This Row],[_Res3Units]]))</f>
        <v>0</v>
      </c>
      <c r="DX136" s="42" t="n">
        <f aca="false">IF(AND(AND(Tasks[[#This Row],[_IsLeaf]]=1,Tasks[[#This Row],[_LeafTotalWork]]&gt;0),Tasks[[#This Row],[_Res3Work]]&gt;0),Tasks[[#This Row],[_Res3Work]]/(Tasks[[#This Row],[_FinishWorkday]]-Tasks[[#This Row],[_StartWorkday]]+1),0)</f>
        <v>0</v>
      </c>
      <c r="DY136" s="42" t="n">
        <f aca="false">Tasks[[#This Row],[_Res3WorkPerWD]]*MAX(0,Tasks[[#This Row],[_StartWorkday]]-1)</f>
        <v>0</v>
      </c>
      <c r="DZ136" s="42" t="n">
        <f aca="false">Tasks[[#This Row],[_Res3Work]]*Tasks[[#This Row],[_LeafProgress]]</f>
        <v>0</v>
      </c>
      <c r="EA136" s="42" t="str">
        <f aca="false">IF(Tasks[[#This Row],[_Res4Text]]="","",IF(Tasks[[#This Row],[_Res4Row]]&gt;0,INDEX(res_Name,Tasks[[#This Row],[_Res4Row]]),TRIM(LEFT(Tasks[[#This Row],[_Res4Text]],FIND("[",Tasks[[#This Row],[_Res4Text]]&amp;"[")-1))))</f>
        <v/>
      </c>
      <c r="EB1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6" s="42" t="n">
        <f aca="false">IF(OR(NOT(Tasks[[#This Row],[_IsLeaf]]=1),Tasks[[#This Row],[_Res4Row]]=0),0,N(Tasks[[#This Row],[_Days]])*HoursPerDay*IF(Tasks[[#This Row],[_Res4Units]]="",DefaultUnits,Tasks[[#This Row],[_Res4Units]]))</f>
        <v>0</v>
      </c>
      <c r="ED136" s="42" t="n">
        <f aca="false">IF(AND(AND(Tasks[[#This Row],[_IsLeaf]]=1,Tasks[[#This Row],[_LeafTotalWork]]&gt;0),Tasks[[#This Row],[_Res4Work]]&gt;0),Tasks[[#This Row],[_Res4Work]]/(Tasks[[#This Row],[_FinishWorkday]]-Tasks[[#This Row],[_StartWorkday]]+1),0)</f>
        <v>0</v>
      </c>
      <c r="EE136" s="42" t="n">
        <f aca="false">Tasks[[#This Row],[_Res4WorkPerWD]]*MAX(0,Tasks[[#This Row],[_StartWorkday]]-1)</f>
        <v>0</v>
      </c>
      <c r="EF136" s="42" t="n">
        <f aca="false">Tasks[[#This Row],[_Res4Work]]*Tasks[[#This Row],[_LeafProgress]]</f>
        <v>0</v>
      </c>
      <c r="EG136" s="42" t="n">
        <f aca="false">IF(ISNUMBER(Tasks[[#This Row],[% Complete]]),Tasks[[#This Row],[% Complete]],IF(Tasks[[#This Row],[Stage]]="",0,IFERROR(INDEX(stg_Pct,MATCH(Tasks[[#This Row],[Stage]],stg_Name,0)),0)))</f>
        <v>0</v>
      </c>
      <c r="EH136" s="42" t="n">
        <f aca="false">IF(NOT(Tasks[[#This Row],[_IsLeaf]]=1),0,IF(N(Tasks[[#This Row],[Actual Finish]])&gt;0,1,MIN(1,Tasks[[#This Row],[_Pct]])))</f>
        <v>0</v>
      </c>
      <c r="EI136" s="42" t="n">
        <f aca="false">IF(OR(NOT(Tasks[[#This Row],[_IsLeaf]]=1),Tasks[[#This Row],[_Res1Row]]=0),0,N(Tasks[[#This Row],[_Days]])*HoursPerDay*IF(Tasks[[#This Row],[_Units1]]="",DefaultUnits,Tasks[[#This Row],[_Units1]]))</f>
        <v>0</v>
      </c>
      <c r="EJ136" s="42" t="n">
        <f aca="false">Tasks[[#This Row],[_LeafWork]]+Tasks[[#This Row],[_Res2Work]]+Tasks[[#This Row],[_Res3Work]]+Tasks[[#This Row],[_Res4Work]]</f>
        <v>0</v>
      </c>
      <c r="EK1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6" s="42" t="n">
        <f aca="false">IF(NOT(Tasks[[#This Row],[_IsLeaf]]=1),0,MAX(_xlfn.MAXIFS(Tasks[_Row],Tasks[_Pred1UID],Tasks[[#This Row],[UID]]),_xlfn.MAXIFS(Tasks[_Row],Tasks[_Pred2UID],Tasks[[#This Row],[UID]]),_xlfn.MAXIFS(Tasks[_Row],Tasks[_Pred3UID],Tasks[[#This Row],[UID]]),_xlfn.MAXIFS(Tasks[_Row],Tasks[_Pred4UID],Tasks[[#This Row],[UID]])))</f>
        <v>0</v>
      </c>
      <c r="ET1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6" s="89" t="str">
        <f aca="false">IF(NOT(Tasks[[#This Row],[_IsLeaf]]=1),"",IF(N(Tasks[[#This Row],[_Days]])&lt;=0,Tasks[[#This Row],[_LeafLateFinish]],WORKDAY.INTL(Tasks[[#This Row],[_LeafLateFinish]],-(Tasks[[#This Row],[_Days]]-1),WorkWeek,Holidays)))</f>
        <v/>
      </c>
      <c r="EW1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6" s="88" t="b">
        <f aca="false">AND(Tasks[[#This Row],[_IsLeaf]]=1,Tasks[[#This Row],[_LeafProgress]]&lt;1,N(Tasks[[#This Row],[_LeafTotalSlack]])&lt;=CriticalSlackDays)</f>
        <v>0</v>
      </c>
      <c r="EY136" s="42" t="n">
        <f aca="false">IF(AND(Tasks[[#This Row],[_IsLeaf]]=1,Tasks[[#This Row],[_ConstraintCode]]=1,Tasks[[#This Row],[Mode]]&lt;&gt;"Manual",N(Tasks[[#This Row],[Actual Start]])=0),MAX(0,N(Tasks[[#This Row],[Free Slack]])),0)</f>
        <v>0</v>
      </c>
      <c r="EZ136" s="89" t="str">
        <f aca="false">IF(NOT(Tasks[[#This Row],[_IsLeaf]]=1),"",IF(Tasks[[#This Row],[_AlapShift]]=0,Tasks[[#This Row],[_LeafCalcStart]],WORKDAY.INTL(Tasks[[#This Row],[_LeafCalcStart]],Tasks[[#This Row],[_AlapShift]],WorkWeek,Holidays)))</f>
        <v/>
      </c>
      <c r="FA136" s="89" t="str">
        <f aca="false">IF(NOT(Tasks[[#This Row],[_IsLeaf]]=1),"",IF(Tasks[[#This Row],[_AlapShift]]=0,Tasks[[#This Row],[_LeafCalcFinish]],WORKDAY.INTL(Tasks[[#This Row],[_LeafCalcFinish]],Tasks[[#This Row],[_AlapShift]],WorkWeek,Holidays)))</f>
        <v/>
      </c>
      <c r="FB136" s="89" t="str">
        <f aca="false">IF(NOT(Tasks[[#This Row],[_IsLeaf]]=1),"",IF(Tasks[[#This Row],[_AlapShift]]=0,Tasks[[#This Row],[_LeafFcstStart]],WORKDAY.INTL(Tasks[[#This Row],[_LeafFcstStart]],Tasks[[#This Row],[_AlapShift]],WorkWeek,Holidays)))</f>
        <v/>
      </c>
      <c r="FC136" s="89" t="str">
        <f aca="false">IF(NOT(Tasks[[#This Row],[_IsLeaf]]=1),"",IF(Tasks[[#This Row],[_AlapShift]]=0,Tasks[[#This Row],[_LeafFcstFinish]],WORKDAY.INTL(Tasks[[#This Row],[_LeafFcstFinish]],Tasks[[#This Row],[_AlapShift]],WorkWeek,Holidays)))</f>
        <v/>
      </c>
      <c r="FD136" s="89" t="str">
        <f aca="false">IF(Tasks[[#This Row],[Task Name]]="","",IF(Tasks[[#This Row],[_IsSummary]],MIN(INDEX(Tasks[_ShownCalcStart],Tasks[[#This Row],[_Row]]+1):INDEX(Tasks[_ShownCalcStart],Tasks[[#This Row],[_Row]]+Tasks[[#This Row],[_Descendants]])),Tasks[[#This Row],[_ShownCalcStart]]))</f>
        <v/>
      </c>
      <c r="FE136" s="89" t="str">
        <f aca="false">IF(Tasks[[#This Row],[Task Name]]="","",IF(Tasks[[#This Row],[_IsSummary]],MAX(INDEX(Tasks[_ShownCalcFinish],Tasks[[#This Row],[_Row]]+1):INDEX(Tasks[_ShownCalcFinish],Tasks[[#This Row],[_Row]]+Tasks[[#This Row],[_Descendants]])),Tasks[[#This Row],[_ShownCalcFinish]]))</f>
        <v/>
      </c>
      <c r="FF1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6" s="42" t="n">
        <f aca="false">IF(AND(Tasks[[#This Row],[_IsLeaf]]=1,Tasks[[#This Row],[_LeafTotalWork]]&gt;0),NETWORKDAYS.INTL(ProjectStart,Tasks[[#This Row],[_ShownFcstStart]],WorkWeek,Holidays),0)</f>
        <v>0</v>
      </c>
      <c r="FS136" s="42" t="n">
        <f aca="false">IF(AND(Tasks[[#This Row],[_IsLeaf]]=1,Tasks[[#This Row],[_LeafTotalWork]]&gt;0),MAX(Tasks[[#This Row],[_StartWorkday]],NETWORKDAYS.INTL(ProjectStart,Tasks[[#This Row],[_ShownFcstFinish]],WorkWeek,Holidays)),0)</f>
        <v>0</v>
      </c>
      <c r="FT136" s="42" t="n">
        <f aca="false">IF(AND(Tasks[[#This Row],[_IsLeaf]]=1,Tasks[[#This Row],[_LeafTotalWork]]&gt;0),Tasks[[#This Row],[_LeafWork]]/(Tasks[[#This Row],[_FinishWorkday]]-Tasks[[#This Row],[_StartWorkday]]+1),0)</f>
        <v>0</v>
      </c>
      <c r="FU136" s="42" t="n">
        <f aca="false">Tasks[[#This Row],[_WorkPerWorkday]]*(Tasks[[#This Row],[_StartWorkday]]-1)</f>
        <v>-0</v>
      </c>
      <c r="FV136" s="42" t="n">
        <f aca="false">IF(Tasks[[#This Row],[_IsLeaf]]=1,MAX(N(Tasks[[#This Row],[_Days]]),0.1),0)</f>
        <v>0</v>
      </c>
      <c r="FW136" s="42" t="n">
        <f aca="false">Tasks[[#This Row],[_WeightDur]]*Tasks[[#This Row],[_LeafProgress]]</f>
        <v>0</v>
      </c>
      <c r="FX136" s="42" t="n">
        <f aca="false">Tasks[[#This Row],[_WeightDur]]*Tasks[[#This Row],[_PlannedPct]]</f>
        <v>0</v>
      </c>
      <c r="FY1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6" s="42" t="str">
        <f aca="false">IF(AND(Tasks[[#This Row],[_IsLeaf]]=1,N(Tasks[[#This Row],[_Days]])=0,Tasks[[#This Row],[_LeafProgress]]&lt;1),Tasks[[#This Row],[_ShownFcstFinish]]+Tasks[[#This Row],[_Row]]/100000,"")</f>
        <v/>
      </c>
      <c r="GA1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6" s="42" t="str">
        <f aca="false">IF(Tasks[[#This Row],[Task Name]]="","",LEFT(Tasks[[#This Row],[WBS]],FIND(".",Tasks[[#This Row],[WBS]]&amp;".")-1))</f>
        <v/>
      </c>
      <c r="GC136" s="42" t="str">
        <f aca="false">IF(AND(Tasks[[#This Row],[Task Name]]&lt;&gt;"",Tasks[[#This Row],[_Level]]=1),Tasks[[#This Row],[_Row]],"")</f>
        <v/>
      </c>
      <c r="GD136" s="42" t="str">
        <f aca="false">IF(AND(Tasks[[#This Row],[_IsLeaf]]=1,N(Tasks[[#This Row],[_Days]])=0),Tasks[[#This Row],[Planned Finish]]+Tasks[[#This Row],[_Row]]/100000,"")</f>
        <v/>
      </c>
      <c r="GE136" s="42" t="str">
        <f aca="false">IF(AND(Tasks[[#This Row],[_IsLeaf]]=1,Tasks[[#This Row],[_LeafProgress]]&lt;1,OR(N(Tasks[[#This Row],[Finish Var]])&gt;0,Tasks[[#This Row],[Status]]="Late Start")),MAX(0,Tasks[[#This Row],[Finish Var]])+1-Tasks[[#This Row],[_Row]]/1000000,"")</f>
        <v/>
      </c>
      <c r="GF136" s="42" t="str">
        <f aca="false">IF(AND(Tasks[[#This Row],[_IsLeaf]]=1,N(Tasks[[#This Row],[Actual Start]])=0,Tasks[[#This Row],[_ShownFcstStart]]&gt;=StatusDate,Tasks[[#This Row],[_ShownFcstStart]]&lt;=LookaheadEnd),Tasks[[#This Row],[_ShownFcstStart]]+Tasks[[#This Row],[_Row]]/100000,"")</f>
        <v/>
      </c>
      <c r="GG136" s="42" t="str">
        <f aca="false">IF(AND(Tasks[[#This Row],[_IsLeaf]]=1,Tasks[[#This Row],[_LeafProgress]]&lt;1,Tasks[[#This Row],[_ShownFcstFinish]]&gt;=StatusDate,Tasks[[#This Row],[_ShownFcstFinish]]&lt;=LookaheadEnd),Tasks[[#This Row],[_ShownFcstFinish]]+Tasks[[#This Row],[_Row]]/100000,"")</f>
        <v/>
      </c>
      <c r="GH136" s="42" t="str">
        <f aca="false">IF(Tasks[[#This Row],[_LeafCritical]],Tasks[[#This Row],[_ShownFcstStart]]+Tasks[[#This Row],[_Row]]/100000,"")</f>
        <v/>
      </c>
      <c r="GI136" s="42" t="n">
        <f aca="false">Tasks[[#This Row],[_LeafWork]]*Tasks[[#This Row],[_LeafProgress]]</f>
        <v>0</v>
      </c>
      <c r="GJ136" s="89" t="str">
        <f aca="false">IF(AND(Tasks[[#This Row],[_IsLeaf]]=1,Tasks[[#This Row],[_LeafProgress]]&gt;=1),IF(N(Tasks[[#This Row],[Actual Finish]])&gt;0,Tasks[[#This Row],[Actual Finish]],Tasks[[#This Row],[_ShownFcstFinish]]),"")</f>
        <v/>
      </c>
      <c r="GK136" s="42" t="n">
        <f aca="false">IF(Tasks[[#This Row],[_IsLeaf]]=1,N(Tasks[[#This Row],[Story Points]]),0)</f>
        <v>0</v>
      </c>
      <c r="GL136" s="42" t="str">
        <f aca="false">""</f>
        <v/>
      </c>
      <c r="GM136" s="88" t="b">
        <f aca="false">IF(Tasks[[#This Row],[Task Name]]="",FALSE(),AND(Tasks[[#This Row],[_IsLeaf]]=1,N(Tasks[[#This Row],[_Days]])=0))</f>
        <v>0</v>
      </c>
      <c r="GN136" s="89" t="n">
        <f aca="false">IF(Tasks[[#This Row],[Task Name]]="",0,IF(AND(Tasks[[#This Row],[_IsLeaf]]=1,NOT(Tasks[[#This Row],[_IsMilestone]]),N(Tasks[[#This Row],[Progress]])&gt;0),Tasks[[#This Row],[Start]],0))</f>
        <v>0</v>
      </c>
      <c r="GO136" s="89" t="n">
        <f aca="false">IF(Tasks[[#This Row],[_DoneFrom]]=0,0,IF(Tasks[[#This Row],[Progress]]&gt;=1,Tasks[[#This Row],[Finish]],MAX(Tasks[[#This Row],[_DoneFrom]],Tasks[[#This Row],[Start]]+ROUND((Tasks[[#This Row],[Finish]]-Tasks[[#This Row],[Start]]+1)*Tasks[[#This Row],[Progress]],0)-1)))</f>
        <v>0</v>
      </c>
      <c r="GP136" s="89" t="n">
        <f aca="false">IF(Tasks[[#This Row],[Task Name]]="",0,IF(OR(NOT(Tasks[[#This Row],[_IsLeaf]]=1),Tasks[[#This Row],[_IsMilestone]],N(Tasks[[#This Row],[Progress]])&gt;=1),0,IF(Tasks[[#This Row],[_DoneTo]]&gt;0,Tasks[[#This Row],[_DoneTo]]+1,Tasks[[#This Row],[Start]])))</f>
        <v>0</v>
      </c>
      <c r="GQ136" s="89" t="n">
        <f aca="false">IF(Tasks[[#This Row],[_RemFrom]]=0,0,Tasks[[#This Row],[Finish]])</f>
        <v>0</v>
      </c>
      <c r="GR136" s="88" t="b">
        <f aca="false">IF(Tasks[[#This Row],[Task Name]]="",FALSE(),OR(NOT(BaselineSet),N(Tasks[[#This Row],[Baseline Start]])&gt;0))</f>
        <v>0</v>
      </c>
      <c r="GS1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6" s="90" t="str">
        <f aca="false">IF(Tasks[[#This Row],[_IsLeaf]]=1,Tasks[[#This Row],[_Row]],"")</f>
        <v/>
      </c>
      <c r="GW136" s="90" t="str">
        <f aca="false">IFERROR(INDEX(Tasks[UID],SMALL(Tasks[_PickKey],Tasks[[#This Row],[_Row]]))&amp;" "&amp;INDEX(Tasks[Task Name],SMALL(Tasks[_PickKey],Tasks[[#This Row],[_Row]])),"")</f>
        <v/>
      </c>
      <c r="GX136" s="42" t="str">
        <f aca="false">IF(Tasks[[#This Row],[Task Name]]="","",IF(Tasks[[#This Row],[_IsSummary]],NETWORKDAYS.INTL(Tasks[[#This Row],[Start]],Tasks[[#This Row],[Finish]],WorkWeek,Holidays),N(Tasks[[#This Row],[_Days]])))</f>
        <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3"/>
      <c r="U137" s="23"/>
      <c r="V137" s="83"/>
      <c r="W137" s="23"/>
      <c r="X137" s="83"/>
      <c r="Y137" s="23"/>
      <c r="Z137" s="83"/>
      <c r="AA137" s="23"/>
      <c r="AB137" s="23"/>
      <c r="AC137" s="7"/>
      <c r="AD137" s="7"/>
      <c r="AE137" s="62" t="str">
        <f aca="false">IF(Tasks[[#This Row],[Task Name]]="","",IF(Tasks[[#This Row],[_IsSummary]],MIN(INDEX(Tasks[_ShownFcstStart],Tasks[[#This Row],[_Row]]+1):INDEX(Tasks[_ShownFcstStart],Tasks[[#This Row],[_Row]]+Tasks[[#This Row],[_Descendants]])),Tasks[[#This Row],[_ShownFcstStart]]))</f>
        <v/>
      </c>
      <c r="AF137" s="62"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7" s="7"/>
      <c r="AK137" s="22"/>
      <c r="AL137" s="23"/>
      <c r="AM137" s="7"/>
      <c r="AN137" s="46"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2" t="str">
        <f aca="false">IF(Tasks[[#This Row],[Task Name]]="","",IF(N(Tasks[[#This Row],[Baseline Start]])&gt;0,Tasks[[#This Row],[Baseline Start]],Tasks[[#This Row],[_CalcStart]]))</f>
        <v/>
      </c>
      <c r="AR137" s="62" t="str">
        <f aca="false">IF(Tasks[[#This Row],[Task Name]]="","",IF(N(Tasks[[#This Row],[Baseline Finish]])&gt;0,Tasks[[#This Row],[Baseline Finish]],Tasks[[#This Row],[_CalcFinish]]))</f>
        <v/>
      </c>
      <c r="AS137" s="46" t="str">
        <f aca="false">IF(Tasks[[#This Row],[Task Name]]="","",IF(Tasks[[#This Row],[Start]]&gt;=Tasks[[#This Row],[Planned Start]],NETWORKDAYS.INTL(Tasks[[#This Row],[Planned Start]],Tasks[[#This Row],[Start]],WorkWeek,Holidays)-1,1-NETWORKDAYS.INTL(Tasks[[#This Row],[Start]],Tasks[[#This Row],[Planned Start]],WorkWeek,Holidays)))</f>
        <v/>
      </c>
      <c r="AT137" s="62" t="str">
        <f aca="false">IF(Tasks[[#This Row],[Task Name]]="","",IF(Tasks[[#This Row],[_IsSummary]],MIN(INDEX(Tasks[_LeafLateStart],Tasks[[#This Row],[_Row]]+1):INDEX(Tasks[_LeafLateStart],Tasks[[#This Row],[_Row]]+Tasks[[#This Row],[_Descendants]])),Tasks[[#This Row],[_LeafLateStart]]))</f>
        <v/>
      </c>
      <c r="AU137" s="62" t="str">
        <f aca="false">IF(Tasks[[#This Row],[Task Name]]="","",IF(Tasks[[#This Row],[_IsSummary]],MAX(INDEX(Tasks[_LeafLateFinish],Tasks[[#This Row],[_Row]]+1):INDEX(Tasks[_LeafLateFinish],Tasks[[#This Row],[_Row]]+Tasks[[#This Row],[_Descendants]])),Tasks[[#This Row],[_LeafLateFinish]]))</f>
        <v/>
      </c>
      <c r="AV137" s="46"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4"/>
      <c r="BA1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5"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6"/>
      <c r="BJ137" s="22"/>
      <c r="BK137" s="46" t="str">
        <f aca="false">IF(OR(Tasks[[#This Row],[Task Name]]="",Tasks[[#This Row],[Baseline Duration]]=""),"",Tasks[[#This Row],[_SpanDays]]-N(Tasks[[#This Row],[Baseline Duration]]))</f>
        <v/>
      </c>
      <c r="BL137" s="85" t="str">
        <f aca="false">IF(OR(Tasks[[#This Row],[Task Name]]="",Tasks[[#This Row],[Baseline Work]]=""),"",Tasks[[#This Row],[Work]]-N(Tasks[[#This Row],[Baseline Work]]))</f>
        <v/>
      </c>
      <c r="BM137" s="62" t="str">
        <f aca="false">IF(Tasks[[#This Row],[Task Name]]="","",IF(OR(TakeBaseline="Yes",N(Tasks[[#This Row],[Baseline Start]])=0),Tasks[[#This Row],[Start]],Tasks[[#This Row],[Baseline Start]]))</f>
        <v/>
      </c>
      <c r="BN137" s="62"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5" t="str">
        <f aca="false">IF(Tasks[[#This Row],[Task Name]]="","",IF(OR(TakeBaseline="Yes",N(Tasks[[#This Row],[Baseline Work]])=0),Tasks[[#This Row],[Work]],Tasks[[#This Row],[Baseline Work]]))</f>
        <v/>
      </c>
      <c r="BQ137" s="7"/>
      <c r="BR137" s="7"/>
      <c r="BS137" s="22"/>
      <c r="BT137" s="87"/>
      <c r="BU137" s="42" t="str">
        <f aca="false">IF(Tasks[[#This Row],[Task Name]]="","",MAX(1,N(Tasks[[#This Row],[Level]])))</f>
        <v/>
      </c>
      <c r="BV137" s="42" t="n">
        <f aca="false">ROW()-ROW(Tasks[[#Headers],[ID]])</f>
        <v>132</v>
      </c>
      <c r="BW137" s="42" t="n">
        <f aca="false">IF(OR(Tasks[[#This Row],[Task Name]]="",Tasks[[#This Row],[_Level]]&lt;=1),0,IFERROR(LOOKUP(2,1/(Tasks[[#Headers],[_Level]]:Tasks[[#This Row],[_Level]]=Tasks[[#This Row],[_Level]]-1),ROW(Tasks[[#Headers],[_Level]]:Tasks[[#This Row],[_Level]])),0))</f>
        <v>0</v>
      </c>
      <c r="BX137" s="42" t="n">
        <f aca="false">IFERROR(N(INDEX(Tasks[_Level],Tasks[[#This Row],[_Row]]+1)),0)</f>
        <v>0</v>
      </c>
      <c r="BY137" s="88" t="b">
        <f aca="false">AND(Tasks[[#This Row],[Task Name]]&lt;&gt;"",Tasks[[#This Row],[_NextLevel]]&gt;Tasks[[#This Row],[_Level]])</f>
        <v>0</v>
      </c>
      <c r="BZ137" s="42" t="n">
        <f aca="false">IF(Tasks[[#This Row],[_IsSummary]],COUNTIF(Tasks[WBS],Tasks[[#This Row],[WBS]]&amp;".*"),0)</f>
        <v>0</v>
      </c>
      <c r="CA137" s="42" t="n">
        <f aca="false">IF(AND(Tasks[[#This Row],[Task Name]]&lt;&gt;"",NOT(Tasks[[#This Row],[_IsSummary]])),1,0)</f>
        <v>0</v>
      </c>
      <c r="CB137" s="42" t="n">
        <f aca="false">IF(N(Tasks[[#This Row],[_Pred1UID]])=0,0,IFERROR(MATCH(Tasks[[#This Row],[_Pred1UID]],Tasks[UID],0),-1))</f>
        <v>0</v>
      </c>
      <c r="CC137" s="42" t="n">
        <f aca="false">IF(N(Tasks[[#This Row],[_Pred2UID]])=0,0,IFERROR(MATCH(Tasks[[#This Row],[_Pred2UID]],Tasks[UID],0),-1))</f>
        <v>0</v>
      </c>
      <c r="CD137" s="42" t="n">
        <f aca="false">IF(N(Tasks[[#This Row],[_Pred3UID]])=0,0,IFERROR(MATCH(Tasks[[#This Row],[_Pred3UID]],Tasks[UID],0),-1))</f>
        <v>0</v>
      </c>
      <c r="CE137" s="42" t="n">
        <f aca="false">IF(N(Tasks[[#This Row],[_Pred4UID]])=0,0,IFERROR(MATCH(Tasks[[#This Row],[_Pred4UID]],Tasks[UID],0),-1))</f>
        <v>0</v>
      </c>
      <c r="CF1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7" s="89" t="n">
        <f aca="false">IF(OR(Tasks[[#This Row],[_ConstraintCode]]=2,Tasks[[#This Row],[_ConstraintCode]]=3,Tasks[[#This Row],[_ConstraintCode]]=4,Tasks[[#This Row],[_ConstraintCode]]=6),Tasks[[#This Row],[_ConstraintStart]],0)</f>
        <v>0</v>
      </c>
      <c r="CI137" s="89" t="n">
        <f aca="false">IF(OR(Tasks[[#This Row],[_ConstraintCode]]=2,Tasks[[#This Row],[_ConstraintCode]]=3,Tasks[[#This Row],[_ConstraintCode]]=5,Tasks[[#This Row],[_ConstraintCode]]=7),Tasks[[#This Row],[_ConstraintStart]],2958465)</f>
        <v>2958465</v>
      </c>
      <c r="CJ1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7" s="89" t="str">
        <f aca="false">IF(NOT(Tasks[[#This Row],[_IsLeaf]]=1),"",IF(N(Tasks[[#This Row],[_Days]])&lt;=0,Tasks[[#This Row],[_LeafCalcStart]],WORKDAY.INTL(Tasks[[#This Row],[_LeafCalcStart]],Tasks[[#This Row],[_Days]]-1,WorkWeek,Holidays)))</f>
        <v/>
      </c>
      <c r="CL1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7" s="42" t="str">
        <f aca="false">IF(Tasks[[#This Row],[_Predecessors]]="","",TRIM(MID(SUBSTITUTE(SUBSTITUTE(SUBSTITUTE(UPPER(Tasks[[#This Row],[_Predecessors]]),";",",")," ",""),",",REPT(" ",99)),1,99)))</f>
        <v/>
      </c>
      <c r="CO137" s="42" t="str">
        <f aca="false">IF(Tasks[[#This Row],[_Pred1Text]]="","",IFERROR(VALUE(LEFT(Tasks[[#This Row],[_Pred1Text]],MIN(FIND("F",Tasks[[#This Row],[_Pred1Text]]&amp;"F"),FIND("S",Tasks[[#This Row],[_Pred1Text]]&amp;"S"),FIND("+",Tasks[[#This Row],[_Pred1Text]]&amp;"+"),FIND("-",Tasks[[#This Row],[_Pred1Text]]&amp;"-"))-1)),""))</f>
        <v/>
      </c>
      <c r="CP1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7" s="42" t="str">
        <f aca="false">IF(Tasks[[#This Row],[_Pred1Text]]="","",TRIM(MID(SUBSTITUTE(SUBSTITUTE(SUBSTITUTE(UPPER(Tasks[[#This Row],[_Predecessors]]),";",",")," ",""),",",REPT(" ",99)),100,99)))</f>
        <v/>
      </c>
      <c r="CS137" s="42" t="str">
        <f aca="false">IF(Tasks[[#This Row],[_Pred2Text]]="","",IFERROR(VALUE(LEFT(Tasks[[#This Row],[_Pred2Text]],MIN(FIND("F",Tasks[[#This Row],[_Pred2Text]]&amp;"F"),FIND("S",Tasks[[#This Row],[_Pred2Text]]&amp;"S"),FIND("+",Tasks[[#This Row],[_Pred2Text]]&amp;"+"),FIND("-",Tasks[[#This Row],[_Pred2Text]]&amp;"-"))-1)),""))</f>
        <v/>
      </c>
      <c r="CT1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7" s="42" t="str">
        <f aca="false">IF(Tasks[[#This Row],[_Pred2Text]]="","",TRIM(MID(SUBSTITUTE(SUBSTITUTE(SUBSTITUTE(UPPER(Tasks[[#This Row],[_Predecessors]]),";",",")," ",""),",",REPT(" ",99)),199,99)))</f>
        <v/>
      </c>
      <c r="CW137" s="42" t="str">
        <f aca="false">IF(Tasks[[#This Row],[_Pred3Text]]="","",IFERROR(VALUE(LEFT(Tasks[[#This Row],[_Pred3Text]],MIN(FIND("F",Tasks[[#This Row],[_Pred3Text]]&amp;"F"),FIND("S",Tasks[[#This Row],[_Pred3Text]]&amp;"S"),FIND("+",Tasks[[#This Row],[_Pred3Text]]&amp;"+"),FIND("-",Tasks[[#This Row],[_Pred3Text]]&amp;"-"))-1)),""))</f>
        <v/>
      </c>
      <c r="CX1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7" s="42" t="str">
        <f aca="false">IF(Tasks[[#This Row],[_Pred3Text]]="","",TRIM(MID(SUBSTITUTE(SUBSTITUTE(SUBSTITUTE(UPPER(Tasks[[#This Row],[_Predecessors]]),";",",")," ",""),",",REPT(" ",99)),298,99)))</f>
        <v/>
      </c>
      <c r="DA137" s="42" t="str">
        <f aca="false">IF(Tasks[[#This Row],[_Pred4Text]]="","",IFERROR(VALUE(LEFT(Tasks[[#This Row],[_Pred4Text]],MIN(FIND("F",Tasks[[#This Row],[_Pred4Text]]&amp;"F"),FIND("S",Tasks[[#This Row],[_Pred4Text]]&amp;"S"),FIND("+",Tasks[[#This Row],[_Pred4Text]]&amp;"+"),FIND("-",Tasks[[#This Row],[_Pred4Text]]&amp;"-"))-1)),""))</f>
        <v/>
      </c>
      <c r="DB1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7" s="42" t="str">
        <f aca="false">IF(OR(Tasks[[#This Row],[Task Name]]="",Tasks[[#This Row],[_Resources]]=""),"",TRIM(MID(SUBSTITUTE(Tasks[[#This Row],[_Resources]],",",REPT(" ",99)),1,99)))</f>
        <v/>
      </c>
      <c r="DE137" s="42" t="str">
        <f aca="false">IF(Tasks[[#This Row],[_Res1Text]]="","",TRIM(MID(SUBSTITUTE(Tasks[[#This Row],[_Resources]],",",REPT(" ",99)),100,99)))</f>
        <v/>
      </c>
      <c r="DF137" s="42" t="str">
        <f aca="false">IF(Tasks[[#This Row],[_Res2Text]]="","",TRIM(MID(SUBSTITUTE(Tasks[[#This Row],[_Resources]],",",REPT(" ",99)),199,99)))</f>
        <v/>
      </c>
      <c r="DG137" s="42" t="str">
        <f aca="false">IF(Tasks[[#This Row],[_Res3Text]]="","",TRIM(MID(SUBSTITUTE(Tasks[[#This Row],[_Resources]],",",REPT(" ",99)),298,99)))</f>
        <v/>
      </c>
      <c r="DH137" s="42" t="n">
        <f aca="false">IF(Tasks[[#This Row],[_Res1Text]]="",0,IFERROR(MATCH(TRIM(LEFT(Tasks[[#This Row],[_Res1Text]],FIND("[",Tasks[[#This Row],[_Res1Text]]&amp;"[")-1)),res_Name,0),IFERROR(MATCH(TRIM(LEFT(Tasks[[#This Row],[_Res1Text]],FIND("[",Tasks[[#This Row],[_Res1Text]]&amp;"[")-1)),res_Initials,0),0)))</f>
        <v>0</v>
      </c>
      <c r="DI137" s="42" t="n">
        <f aca="false">IF(Tasks[[#This Row],[_Res2Text]]="",0,IFERROR(MATCH(TRIM(LEFT(Tasks[[#This Row],[_Res2Text]],FIND("[",Tasks[[#This Row],[_Res2Text]]&amp;"[")-1)),res_Name,0),IFERROR(MATCH(TRIM(LEFT(Tasks[[#This Row],[_Res2Text]],FIND("[",Tasks[[#This Row],[_Res2Text]]&amp;"[")-1)),res_Initials,0),0)))</f>
        <v>0</v>
      </c>
      <c r="DJ137" s="42" t="n">
        <f aca="false">IF(Tasks[[#This Row],[_Res3Text]]="",0,IFERROR(MATCH(TRIM(LEFT(Tasks[[#This Row],[_Res3Text]],FIND("[",Tasks[[#This Row],[_Res3Text]]&amp;"[")-1)),res_Name,0),IFERROR(MATCH(TRIM(LEFT(Tasks[[#This Row],[_Res3Text]],FIND("[",Tasks[[#This Row],[_Res3Text]]&amp;"[")-1)),res_Initials,0),0)))</f>
        <v>0</v>
      </c>
      <c r="DK137" s="42" t="n">
        <f aca="false">IF(Tasks[[#This Row],[_Res4Text]]="",0,IFERROR(MATCH(TRIM(LEFT(Tasks[[#This Row],[_Res4Text]],FIND("[",Tasks[[#This Row],[_Res4Text]]&amp;"[")-1)),res_Name,0),IFERROR(MATCH(TRIM(LEFT(Tasks[[#This Row],[_Res4Text]],FIND("[",Tasks[[#This Row],[_Res4Text]]&amp;"[")-1)),res_Initials,0),0)))</f>
        <v>0</v>
      </c>
      <c r="DL137" s="42" t="str">
        <f aca="false">IF(Tasks[[#This Row],[_Res1Text]]="","",IF(Tasks[[#This Row],[_Res1Row]]&gt;0,INDEX(res_Name,Tasks[[#This Row],[_Res1Row]]),TRIM(LEFT(Tasks[[#This Row],[_Res1Text]],FIND("[",Tasks[[#This Row],[_Res1Text]]&amp;"[")-1))))</f>
        <v/>
      </c>
      <c r="DM1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7" s="42" t="n">
        <f aca="false">IF(NOT(Tasks[[#This Row],[_IsLeaf]]=1),0,(Tasks[[#This Row],[_Resource1]]&lt;&gt;"")+(Tasks[[#This Row],[_Res2]]&lt;&gt;"")+(Tasks[[#This Row],[_Res3]]&lt;&gt;"")+(Tasks[[#This Row],[_Res4]]&lt;&gt;""))</f>
        <v>0</v>
      </c>
      <c r="DO137" s="42" t="str">
        <f aca="false">IF(Tasks[[#This Row],[_Res2Text]]="","",IF(Tasks[[#This Row],[_Res2Row]]&gt;0,INDEX(res_Name,Tasks[[#This Row],[_Res2Row]]),TRIM(LEFT(Tasks[[#This Row],[_Res2Text]],FIND("[",Tasks[[#This Row],[_Res2Text]]&amp;"[")-1))))</f>
        <v/>
      </c>
      <c r="DP1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7" s="42" t="n">
        <f aca="false">IF(OR(NOT(Tasks[[#This Row],[_IsLeaf]]=1),Tasks[[#This Row],[_Res2Row]]=0),0,N(Tasks[[#This Row],[_Days]])*HoursPerDay*IF(Tasks[[#This Row],[_Res2Units]]="",DefaultUnits,Tasks[[#This Row],[_Res2Units]]))</f>
        <v>0</v>
      </c>
      <c r="DR137" s="42" t="n">
        <f aca="false">IF(AND(AND(Tasks[[#This Row],[_IsLeaf]]=1,Tasks[[#This Row],[_LeafTotalWork]]&gt;0),Tasks[[#This Row],[_Res2Work]]&gt;0),Tasks[[#This Row],[_Res2Work]]/(Tasks[[#This Row],[_FinishWorkday]]-Tasks[[#This Row],[_StartWorkday]]+1),0)</f>
        <v>0</v>
      </c>
      <c r="DS137" s="42" t="n">
        <f aca="false">Tasks[[#This Row],[_Res2WorkPerWD]]*MAX(0,Tasks[[#This Row],[_StartWorkday]]-1)</f>
        <v>0</v>
      </c>
      <c r="DT137" s="42" t="n">
        <f aca="false">Tasks[[#This Row],[_Res2Work]]*Tasks[[#This Row],[_LeafProgress]]</f>
        <v>0</v>
      </c>
      <c r="DU137" s="42" t="str">
        <f aca="false">IF(Tasks[[#This Row],[_Res3Text]]="","",IF(Tasks[[#This Row],[_Res3Row]]&gt;0,INDEX(res_Name,Tasks[[#This Row],[_Res3Row]]),TRIM(LEFT(Tasks[[#This Row],[_Res3Text]],FIND("[",Tasks[[#This Row],[_Res3Text]]&amp;"[")-1))))</f>
        <v/>
      </c>
      <c r="DV1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7" s="42" t="n">
        <f aca="false">IF(OR(NOT(Tasks[[#This Row],[_IsLeaf]]=1),Tasks[[#This Row],[_Res3Row]]=0),0,N(Tasks[[#This Row],[_Days]])*HoursPerDay*IF(Tasks[[#This Row],[_Res3Units]]="",DefaultUnits,Tasks[[#This Row],[_Res3Units]]))</f>
        <v>0</v>
      </c>
      <c r="DX137" s="42" t="n">
        <f aca="false">IF(AND(AND(Tasks[[#This Row],[_IsLeaf]]=1,Tasks[[#This Row],[_LeafTotalWork]]&gt;0),Tasks[[#This Row],[_Res3Work]]&gt;0),Tasks[[#This Row],[_Res3Work]]/(Tasks[[#This Row],[_FinishWorkday]]-Tasks[[#This Row],[_StartWorkday]]+1),0)</f>
        <v>0</v>
      </c>
      <c r="DY137" s="42" t="n">
        <f aca="false">Tasks[[#This Row],[_Res3WorkPerWD]]*MAX(0,Tasks[[#This Row],[_StartWorkday]]-1)</f>
        <v>0</v>
      </c>
      <c r="DZ137" s="42" t="n">
        <f aca="false">Tasks[[#This Row],[_Res3Work]]*Tasks[[#This Row],[_LeafProgress]]</f>
        <v>0</v>
      </c>
      <c r="EA137" s="42" t="str">
        <f aca="false">IF(Tasks[[#This Row],[_Res4Text]]="","",IF(Tasks[[#This Row],[_Res4Row]]&gt;0,INDEX(res_Name,Tasks[[#This Row],[_Res4Row]]),TRIM(LEFT(Tasks[[#This Row],[_Res4Text]],FIND("[",Tasks[[#This Row],[_Res4Text]]&amp;"[")-1))))</f>
        <v/>
      </c>
      <c r="EB1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7" s="42" t="n">
        <f aca="false">IF(OR(NOT(Tasks[[#This Row],[_IsLeaf]]=1),Tasks[[#This Row],[_Res4Row]]=0),0,N(Tasks[[#This Row],[_Days]])*HoursPerDay*IF(Tasks[[#This Row],[_Res4Units]]="",DefaultUnits,Tasks[[#This Row],[_Res4Units]]))</f>
        <v>0</v>
      </c>
      <c r="ED137" s="42" t="n">
        <f aca="false">IF(AND(AND(Tasks[[#This Row],[_IsLeaf]]=1,Tasks[[#This Row],[_LeafTotalWork]]&gt;0),Tasks[[#This Row],[_Res4Work]]&gt;0),Tasks[[#This Row],[_Res4Work]]/(Tasks[[#This Row],[_FinishWorkday]]-Tasks[[#This Row],[_StartWorkday]]+1),0)</f>
        <v>0</v>
      </c>
      <c r="EE137" s="42" t="n">
        <f aca="false">Tasks[[#This Row],[_Res4WorkPerWD]]*MAX(0,Tasks[[#This Row],[_StartWorkday]]-1)</f>
        <v>0</v>
      </c>
      <c r="EF137" s="42" t="n">
        <f aca="false">Tasks[[#This Row],[_Res4Work]]*Tasks[[#This Row],[_LeafProgress]]</f>
        <v>0</v>
      </c>
      <c r="EG137" s="42" t="n">
        <f aca="false">IF(ISNUMBER(Tasks[[#This Row],[% Complete]]),Tasks[[#This Row],[% Complete]],IF(Tasks[[#This Row],[Stage]]="",0,IFERROR(INDEX(stg_Pct,MATCH(Tasks[[#This Row],[Stage]],stg_Name,0)),0)))</f>
        <v>0</v>
      </c>
      <c r="EH137" s="42" t="n">
        <f aca="false">IF(NOT(Tasks[[#This Row],[_IsLeaf]]=1),0,IF(N(Tasks[[#This Row],[Actual Finish]])&gt;0,1,MIN(1,Tasks[[#This Row],[_Pct]])))</f>
        <v>0</v>
      </c>
      <c r="EI137" s="42" t="n">
        <f aca="false">IF(OR(NOT(Tasks[[#This Row],[_IsLeaf]]=1),Tasks[[#This Row],[_Res1Row]]=0),0,N(Tasks[[#This Row],[_Days]])*HoursPerDay*IF(Tasks[[#This Row],[_Units1]]="",DefaultUnits,Tasks[[#This Row],[_Units1]]))</f>
        <v>0</v>
      </c>
      <c r="EJ137" s="42" t="n">
        <f aca="false">Tasks[[#This Row],[_LeafWork]]+Tasks[[#This Row],[_Res2Work]]+Tasks[[#This Row],[_Res3Work]]+Tasks[[#This Row],[_Res4Work]]</f>
        <v>0</v>
      </c>
      <c r="EK1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7" s="42" t="n">
        <f aca="false">IF(NOT(Tasks[[#This Row],[_IsLeaf]]=1),0,MAX(_xlfn.MAXIFS(Tasks[_Row],Tasks[_Pred1UID],Tasks[[#This Row],[UID]]),_xlfn.MAXIFS(Tasks[_Row],Tasks[_Pred2UID],Tasks[[#This Row],[UID]]),_xlfn.MAXIFS(Tasks[_Row],Tasks[_Pred3UID],Tasks[[#This Row],[UID]]),_xlfn.MAXIFS(Tasks[_Row],Tasks[_Pred4UID],Tasks[[#This Row],[UID]])))</f>
        <v>0</v>
      </c>
      <c r="ET1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7" s="89" t="str">
        <f aca="false">IF(NOT(Tasks[[#This Row],[_IsLeaf]]=1),"",IF(N(Tasks[[#This Row],[_Days]])&lt;=0,Tasks[[#This Row],[_LeafLateFinish]],WORKDAY.INTL(Tasks[[#This Row],[_LeafLateFinish]],-(Tasks[[#This Row],[_Days]]-1),WorkWeek,Holidays)))</f>
        <v/>
      </c>
      <c r="EW1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7" s="88" t="b">
        <f aca="false">AND(Tasks[[#This Row],[_IsLeaf]]=1,Tasks[[#This Row],[_LeafProgress]]&lt;1,N(Tasks[[#This Row],[_LeafTotalSlack]])&lt;=CriticalSlackDays)</f>
        <v>0</v>
      </c>
      <c r="EY137" s="42" t="n">
        <f aca="false">IF(AND(Tasks[[#This Row],[_IsLeaf]]=1,Tasks[[#This Row],[_ConstraintCode]]=1,Tasks[[#This Row],[Mode]]&lt;&gt;"Manual",N(Tasks[[#This Row],[Actual Start]])=0),MAX(0,N(Tasks[[#This Row],[Free Slack]])),0)</f>
        <v>0</v>
      </c>
      <c r="EZ137" s="89" t="str">
        <f aca="false">IF(NOT(Tasks[[#This Row],[_IsLeaf]]=1),"",IF(Tasks[[#This Row],[_AlapShift]]=0,Tasks[[#This Row],[_LeafCalcStart]],WORKDAY.INTL(Tasks[[#This Row],[_LeafCalcStart]],Tasks[[#This Row],[_AlapShift]],WorkWeek,Holidays)))</f>
        <v/>
      </c>
      <c r="FA137" s="89" t="str">
        <f aca="false">IF(NOT(Tasks[[#This Row],[_IsLeaf]]=1),"",IF(Tasks[[#This Row],[_AlapShift]]=0,Tasks[[#This Row],[_LeafCalcFinish]],WORKDAY.INTL(Tasks[[#This Row],[_LeafCalcFinish]],Tasks[[#This Row],[_AlapShift]],WorkWeek,Holidays)))</f>
        <v/>
      </c>
      <c r="FB137" s="89" t="str">
        <f aca="false">IF(NOT(Tasks[[#This Row],[_IsLeaf]]=1),"",IF(Tasks[[#This Row],[_AlapShift]]=0,Tasks[[#This Row],[_LeafFcstStart]],WORKDAY.INTL(Tasks[[#This Row],[_LeafFcstStart]],Tasks[[#This Row],[_AlapShift]],WorkWeek,Holidays)))</f>
        <v/>
      </c>
      <c r="FC137" s="89" t="str">
        <f aca="false">IF(NOT(Tasks[[#This Row],[_IsLeaf]]=1),"",IF(Tasks[[#This Row],[_AlapShift]]=0,Tasks[[#This Row],[_LeafFcstFinish]],WORKDAY.INTL(Tasks[[#This Row],[_LeafFcstFinish]],Tasks[[#This Row],[_AlapShift]],WorkWeek,Holidays)))</f>
        <v/>
      </c>
      <c r="FD137" s="89" t="str">
        <f aca="false">IF(Tasks[[#This Row],[Task Name]]="","",IF(Tasks[[#This Row],[_IsSummary]],MIN(INDEX(Tasks[_ShownCalcStart],Tasks[[#This Row],[_Row]]+1):INDEX(Tasks[_ShownCalcStart],Tasks[[#This Row],[_Row]]+Tasks[[#This Row],[_Descendants]])),Tasks[[#This Row],[_ShownCalcStart]]))</f>
        <v/>
      </c>
      <c r="FE137" s="89" t="str">
        <f aca="false">IF(Tasks[[#This Row],[Task Name]]="","",IF(Tasks[[#This Row],[_IsSummary]],MAX(INDEX(Tasks[_ShownCalcFinish],Tasks[[#This Row],[_Row]]+1):INDEX(Tasks[_ShownCalcFinish],Tasks[[#This Row],[_Row]]+Tasks[[#This Row],[_Descendants]])),Tasks[[#This Row],[_ShownCalcFinish]]))</f>
        <v/>
      </c>
      <c r="FF1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7" s="42" t="n">
        <f aca="false">IF(AND(Tasks[[#This Row],[_IsLeaf]]=1,Tasks[[#This Row],[_LeafTotalWork]]&gt;0),NETWORKDAYS.INTL(ProjectStart,Tasks[[#This Row],[_ShownFcstStart]],WorkWeek,Holidays),0)</f>
        <v>0</v>
      </c>
      <c r="FS137" s="42" t="n">
        <f aca="false">IF(AND(Tasks[[#This Row],[_IsLeaf]]=1,Tasks[[#This Row],[_LeafTotalWork]]&gt;0),MAX(Tasks[[#This Row],[_StartWorkday]],NETWORKDAYS.INTL(ProjectStart,Tasks[[#This Row],[_ShownFcstFinish]],WorkWeek,Holidays)),0)</f>
        <v>0</v>
      </c>
      <c r="FT137" s="42" t="n">
        <f aca="false">IF(AND(Tasks[[#This Row],[_IsLeaf]]=1,Tasks[[#This Row],[_LeafTotalWork]]&gt;0),Tasks[[#This Row],[_LeafWork]]/(Tasks[[#This Row],[_FinishWorkday]]-Tasks[[#This Row],[_StartWorkday]]+1),0)</f>
        <v>0</v>
      </c>
      <c r="FU137" s="42" t="n">
        <f aca="false">Tasks[[#This Row],[_WorkPerWorkday]]*(Tasks[[#This Row],[_StartWorkday]]-1)</f>
        <v>-0</v>
      </c>
      <c r="FV137" s="42" t="n">
        <f aca="false">IF(Tasks[[#This Row],[_IsLeaf]]=1,MAX(N(Tasks[[#This Row],[_Days]]),0.1),0)</f>
        <v>0</v>
      </c>
      <c r="FW137" s="42" t="n">
        <f aca="false">Tasks[[#This Row],[_WeightDur]]*Tasks[[#This Row],[_LeafProgress]]</f>
        <v>0</v>
      </c>
      <c r="FX137" s="42" t="n">
        <f aca="false">Tasks[[#This Row],[_WeightDur]]*Tasks[[#This Row],[_PlannedPct]]</f>
        <v>0</v>
      </c>
      <c r="FY1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7" s="42" t="str">
        <f aca="false">IF(AND(Tasks[[#This Row],[_IsLeaf]]=1,N(Tasks[[#This Row],[_Days]])=0,Tasks[[#This Row],[_LeafProgress]]&lt;1),Tasks[[#This Row],[_ShownFcstFinish]]+Tasks[[#This Row],[_Row]]/100000,"")</f>
        <v/>
      </c>
      <c r="GA1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7" s="42" t="str">
        <f aca="false">IF(Tasks[[#This Row],[Task Name]]="","",LEFT(Tasks[[#This Row],[WBS]],FIND(".",Tasks[[#This Row],[WBS]]&amp;".")-1))</f>
        <v/>
      </c>
      <c r="GC137" s="42" t="str">
        <f aca="false">IF(AND(Tasks[[#This Row],[Task Name]]&lt;&gt;"",Tasks[[#This Row],[_Level]]=1),Tasks[[#This Row],[_Row]],"")</f>
        <v/>
      </c>
      <c r="GD137" s="42" t="str">
        <f aca="false">IF(AND(Tasks[[#This Row],[_IsLeaf]]=1,N(Tasks[[#This Row],[_Days]])=0),Tasks[[#This Row],[Planned Finish]]+Tasks[[#This Row],[_Row]]/100000,"")</f>
        <v/>
      </c>
      <c r="GE137" s="42" t="str">
        <f aca="false">IF(AND(Tasks[[#This Row],[_IsLeaf]]=1,Tasks[[#This Row],[_LeafProgress]]&lt;1,OR(N(Tasks[[#This Row],[Finish Var]])&gt;0,Tasks[[#This Row],[Status]]="Late Start")),MAX(0,Tasks[[#This Row],[Finish Var]])+1-Tasks[[#This Row],[_Row]]/1000000,"")</f>
        <v/>
      </c>
      <c r="GF137" s="42" t="str">
        <f aca="false">IF(AND(Tasks[[#This Row],[_IsLeaf]]=1,N(Tasks[[#This Row],[Actual Start]])=0,Tasks[[#This Row],[_ShownFcstStart]]&gt;=StatusDate,Tasks[[#This Row],[_ShownFcstStart]]&lt;=LookaheadEnd),Tasks[[#This Row],[_ShownFcstStart]]+Tasks[[#This Row],[_Row]]/100000,"")</f>
        <v/>
      </c>
      <c r="GG137" s="42" t="str">
        <f aca="false">IF(AND(Tasks[[#This Row],[_IsLeaf]]=1,Tasks[[#This Row],[_LeafProgress]]&lt;1,Tasks[[#This Row],[_ShownFcstFinish]]&gt;=StatusDate,Tasks[[#This Row],[_ShownFcstFinish]]&lt;=LookaheadEnd),Tasks[[#This Row],[_ShownFcstFinish]]+Tasks[[#This Row],[_Row]]/100000,"")</f>
        <v/>
      </c>
      <c r="GH137" s="42" t="str">
        <f aca="false">IF(Tasks[[#This Row],[_LeafCritical]],Tasks[[#This Row],[_ShownFcstStart]]+Tasks[[#This Row],[_Row]]/100000,"")</f>
        <v/>
      </c>
      <c r="GI137" s="42" t="n">
        <f aca="false">Tasks[[#This Row],[_LeafWork]]*Tasks[[#This Row],[_LeafProgress]]</f>
        <v>0</v>
      </c>
      <c r="GJ137" s="89" t="str">
        <f aca="false">IF(AND(Tasks[[#This Row],[_IsLeaf]]=1,Tasks[[#This Row],[_LeafProgress]]&gt;=1),IF(N(Tasks[[#This Row],[Actual Finish]])&gt;0,Tasks[[#This Row],[Actual Finish]],Tasks[[#This Row],[_ShownFcstFinish]]),"")</f>
        <v/>
      </c>
      <c r="GK137" s="42" t="n">
        <f aca="false">IF(Tasks[[#This Row],[_IsLeaf]]=1,N(Tasks[[#This Row],[Story Points]]),0)</f>
        <v>0</v>
      </c>
      <c r="GL137" s="42" t="str">
        <f aca="false">""</f>
        <v/>
      </c>
      <c r="GM137" s="88" t="b">
        <f aca="false">IF(Tasks[[#This Row],[Task Name]]="",FALSE(),AND(Tasks[[#This Row],[_IsLeaf]]=1,N(Tasks[[#This Row],[_Days]])=0))</f>
        <v>0</v>
      </c>
      <c r="GN137" s="89" t="n">
        <f aca="false">IF(Tasks[[#This Row],[Task Name]]="",0,IF(AND(Tasks[[#This Row],[_IsLeaf]]=1,NOT(Tasks[[#This Row],[_IsMilestone]]),N(Tasks[[#This Row],[Progress]])&gt;0),Tasks[[#This Row],[Start]],0))</f>
        <v>0</v>
      </c>
      <c r="GO137" s="89" t="n">
        <f aca="false">IF(Tasks[[#This Row],[_DoneFrom]]=0,0,IF(Tasks[[#This Row],[Progress]]&gt;=1,Tasks[[#This Row],[Finish]],MAX(Tasks[[#This Row],[_DoneFrom]],Tasks[[#This Row],[Start]]+ROUND((Tasks[[#This Row],[Finish]]-Tasks[[#This Row],[Start]]+1)*Tasks[[#This Row],[Progress]],0)-1)))</f>
        <v>0</v>
      </c>
      <c r="GP137" s="89" t="n">
        <f aca="false">IF(Tasks[[#This Row],[Task Name]]="",0,IF(OR(NOT(Tasks[[#This Row],[_IsLeaf]]=1),Tasks[[#This Row],[_IsMilestone]],N(Tasks[[#This Row],[Progress]])&gt;=1),0,IF(Tasks[[#This Row],[_DoneTo]]&gt;0,Tasks[[#This Row],[_DoneTo]]+1,Tasks[[#This Row],[Start]])))</f>
        <v>0</v>
      </c>
      <c r="GQ137" s="89" t="n">
        <f aca="false">IF(Tasks[[#This Row],[_RemFrom]]=0,0,Tasks[[#This Row],[Finish]])</f>
        <v>0</v>
      </c>
      <c r="GR137" s="88" t="b">
        <f aca="false">IF(Tasks[[#This Row],[Task Name]]="",FALSE(),OR(NOT(BaselineSet),N(Tasks[[#This Row],[Baseline Start]])&gt;0))</f>
        <v>0</v>
      </c>
      <c r="GS1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7" s="90" t="str">
        <f aca="false">IF(Tasks[[#This Row],[_IsLeaf]]=1,Tasks[[#This Row],[_Row]],"")</f>
        <v/>
      </c>
      <c r="GW137" s="90" t="str">
        <f aca="false">IFERROR(INDEX(Tasks[UID],SMALL(Tasks[_PickKey],Tasks[[#This Row],[_Row]]))&amp;" "&amp;INDEX(Tasks[Task Name],SMALL(Tasks[_PickKey],Tasks[[#This Row],[_Row]])),"")</f>
        <v/>
      </c>
      <c r="GX137" s="42" t="str">
        <f aca="false">IF(Tasks[[#This Row],[Task Name]]="","",IF(Tasks[[#This Row],[_IsSummary]],NETWORKDAYS.INTL(Tasks[[#This Row],[Start]],Tasks[[#This Row],[Finish]],WorkWeek,Holidays),N(Tasks[[#This Row],[_Days]])))</f>
        <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3"/>
      <c r="U138" s="23"/>
      <c r="V138" s="83"/>
      <c r="W138" s="23"/>
      <c r="X138" s="83"/>
      <c r="Y138" s="23"/>
      <c r="Z138" s="83"/>
      <c r="AA138" s="23"/>
      <c r="AB138" s="23"/>
      <c r="AC138" s="7"/>
      <c r="AD138" s="7"/>
      <c r="AE138" s="62" t="str">
        <f aca="false">IF(Tasks[[#This Row],[Task Name]]="","",IF(Tasks[[#This Row],[_IsSummary]],MIN(INDEX(Tasks[_ShownFcstStart],Tasks[[#This Row],[_Row]]+1):INDEX(Tasks[_ShownFcstStart],Tasks[[#This Row],[_Row]]+Tasks[[#This Row],[_Descendants]])),Tasks[[#This Row],[_ShownFcstStart]]))</f>
        <v/>
      </c>
      <c r="AF138" s="62"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8" s="7"/>
      <c r="AK138" s="22"/>
      <c r="AL138" s="23"/>
      <c r="AM138" s="7"/>
      <c r="AN138" s="46"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2" t="str">
        <f aca="false">IF(Tasks[[#This Row],[Task Name]]="","",IF(N(Tasks[[#This Row],[Baseline Start]])&gt;0,Tasks[[#This Row],[Baseline Start]],Tasks[[#This Row],[_CalcStart]]))</f>
        <v/>
      </c>
      <c r="AR138" s="62" t="str">
        <f aca="false">IF(Tasks[[#This Row],[Task Name]]="","",IF(N(Tasks[[#This Row],[Baseline Finish]])&gt;0,Tasks[[#This Row],[Baseline Finish]],Tasks[[#This Row],[_CalcFinish]]))</f>
        <v/>
      </c>
      <c r="AS138" s="46" t="str">
        <f aca="false">IF(Tasks[[#This Row],[Task Name]]="","",IF(Tasks[[#This Row],[Start]]&gt;=Tasks[[#This Row],[Planned Start]],NETWORKDAYS.INTL(Tasks[[#This Row],[Planned Start]],Tasks[[#This Row],[Start]],WorkWeek,Holidays)-1,1-NETWORKDAYS.INTL(Tasks[[#This Row],[Start]],Tasks[[#This Row],[Planned Start]],WorkWeek,Holidays)))</f>
        <v/>
      </c>
      <c r="AT138" s="62" t="str">
        <f aca="false">IF(Tasks[[#This Row],[Task Name]]="","",IF(Tasks[[#This Row],[_IsSummary]],MIN(INDEX(Tasks[_LeafLateStart],Tasks[[#This Row],[_Row]]+1):INDEX(Tasks[_LeafLateStart],Tasks[[#This Row],[_Row]]+Tasks[[#This Row],[_Descendants]])),Tasks[[#This Row],[_LeafLateStart]]))</f>
        <v/>
      </c>
      <c r="AU138" s="62" t="str">
        <f aca="false">IF(Tasks[[#This Row],[Task Name]]="","",IF(Tasks[[#This Row],[_IsSummary]],MAX(INDEX(Tasks[_LeafLateFinish],Tasks[[#This Row],[_Row]]+1):INDEX(Tasks[_LeafLateFinish],Tasks[[#This Row],[_Row]]+Tasks[[#This Row],[_Descendants]])),Tasks[[#This Row],[_LeafLateFinish]]))</f>
        <v/>
      </c>
      <c r="AV138" s="46"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4"/>
      <c r="BA1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5"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6"/>
      <c r="BJ138" s="22"/>
      <c r="BK138" s="46" t="str">
        <f aca="false">IF(OR(Tasks[[#This Row],[Task Name]]="",Tasks[[#This Row],[Baseline Duration]]=""),"",Tasks[[#This Row],[_SpanDays]]-N(Tasks[[#This Row],[Baseline Duration]]))</f>
        <v/>
      </c>
      <c r="BL138" s="85" t="str">
        <f aca="false">IF(OR(Tasks[[#This Row],[Task Name]]="",Tasks[[#This Row],[Baseline Work]]=""),"",Tasks[[#This Row],[Work]]-N(Tasks[[#This Row],[Baseline Work]]))</f>
        <v/>
      </c>
      <c r="BM138" s="62" t="str">
        <f aca="false">IF(Tasks[[#This Row],[Task Name]]="","",IF(OR(TakeBaseline="Yes",N(Tasks[[#This Row],[Baseline Start]])=0),Tasks[[#This Row],[Start]],Tasks[[#This Row],[Baseline Start]]))</f>
        <v/>
      </c>
      <c r="BN138" s="62"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5" t="str">
        <f aca="false">IF(Tasks[[#This Row],[Task Name]]="","",IF(OR(TakeBaseline="Yes",N(Tasks[[#This Row],[Baseline Work]])=0),Tasks[[#This Row],[Work]],Tasks[[#This Row],[Baseline Work]]))</f>
        <v/>
      </c>
      <c r="BQ138" s="7"/>
      <c r="BR138" s="7"/>
      <c r="BS138" s="22"/>
      <c r="BT138" s="87"/>
      <c r="BU138" s="42" t="str">
        <f aca="false">IF(Tasks[[#This Row],[Task Name]]="","",MAX(1,N(Tasks[[#This Row],[Level]])))</f>
        <v/>
      </c>
      <c r="BV138" s="42" t="n">
        <f aca="false">ROW()-ROW(Tasks[[#Headers],[ID]])</f>
        <v>133</v>
      </c>
      <c r="BW138" s="42" t="n">
        <f aca="false">IF(OR(Tasks[[#This Row],[Task Name]]="",Tasks[[#This Row],[_Level]]&lt;=1),0,IFERROR(LOOKUP(2,1/(Tasks[[#Headers],[_Level]]:Tasks[[#This Row],[_Level]]=Tasks[[#This Row],[_Level]]-1),ROW(Tasks[[#Headers],[_Level]]:Tasks[[#This Row],[_Level]])),0))</f>
        <v>0</v>
      </c>
      <c r="BX138" s="42" t="n">
        <f aca="false">IFERROR(N(INDEX(Tasks[_Level],Tasks[[#This Row],[_Row]]+1)),0)</f>
        <v>0</v>
      </c>
      <c r="BY138" s="88" t="b">
        <f aca="false">AND(Tasks[[#This Row],[Task Name]]&lt;&gt;"",Tasks[[#This Row],[_NextLevel]]&gt;Tasks[[#This Row],[_Level]])</f>
        <v>0</v>
      </c>
      <c r="BZ138" s="42" t="n">
        <f aca="false">IF(Tasks[[#This Row],[_IsSummary]],COUNTIF(Tasks[WBS],Tasks[[#This Row],[WBS]]&amp;".*"),0)</f>
        <v>0</v>
      </c>
      <c r="CA138" s="42" t="n">
        <f aca="false">IF(AND(Tasks[[#This Row],[Task Name]]&lt;&gt;"",NOT(Tasks[[#This Row],[_IsSummary]])),1,0)</f>
        <v>0</v>
      </c>
      <c r="CB138" s="42" t="n">
        <f aca="false">IF(N(Tasks[[#This Row],[_Pred1UID]])=0,0,IFERROR(MATCH(Tasks[[#This Row],[_Pred1UID]],Tasks[UID],0),-1))</f>
        <v>0</v>
      </c>
      <c r="CC138" s="42" t="n">
        <f aca="false">IF(N(Tasks[[#This Row],[_Pred2UID]])=0,0,IFERROR(MATCH(Tasks[[#This Row],[_Pred2UID]],Tasks[UID],0),-1))</f>
        <v>0</v>
      </c>
      <c r="CD138" s="42" t="n">
        <f aca="false">IF(N(Tasks[[#This Row],[_Pred3UID]])=0,0,IFERROR(MATCH(Tasks[[#This Row],[_Pred3UID]],Tasks[UID],0),-1))</f>
        <v>0</v>
      </c>
      <c r="CE138" s="42" t="n">
        <f aca="false">IF(N(Tasks[[#This Row],[_Pred4UID]])=0,0,IFERROR(MATCH(Tasks[[#This Row],[_Pred4UID]],Tasks[UID],0),-1))</f>
        <v>0</v>
      </c>
      <c r="CF1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8" s="89" t="n">
        <f aca="false">IF(OR(Tasks[[#This Row],[_ConstraintCode]]=2,Tasks[[#This Row],[_ConstraintCode]]=3,Tasks[[#This Row],[_ConstraintCode]]=4,Tasks[[#This Row],[_ConstraintCode]]=6),Tasks[[#This Row],[_ConstraintStart]],0)</f>
        <v>0</v>
      </c>
      <c r="CI138" s="89" t="n">
        <f aca="false">IF(OR(Tasks[[#This Row],[_ConstraintCode]]=2,Tasks[[#This Row],[_ConstraintCode]]=3,Tasks[[#This Row],[_ConstraintCode]]=5,Tasks[[#This Row],[_ConstraintCode]]=7),Tasks[[#This Row],[_ConstraintStart]],2958465)</f>
        <v>2958465</v>
      </c>
      <c r="CJ1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8" s="89" t="str">
        <f aca="false">IF(NOT(Tasks[[#This Row],[_IsLeaf]]=1),"",IF(N(Tasks[[#This Row],[_Days]])&lt;=0,Tasks[[#This Row],[_LeafCalcStart]],WORKDAY.INTL(Tasks[[#This Row],[_LeafCalcStart]],Tasks[[#This Row],[_Days]]-1,WorkWeek,Holidays)))</f>
        <v/>
      </c>
      <c r="CL1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8" s="42" t="str">
        <f aca="false">IF(Tasks[[#This Row],[_Predecessors]]="","",TRIM(MID(SUBSTITUTE(SUBSTITUTE(SUBSTITUTE(UPPER(Tasks[[#This Row],[_Predecessors]]),";",",")," ",""),",",REPT(" ",99)),1,99)))</f>
        <v/>
      </c>
      <c r="CO138" s="42" t="str">
        <f aca="false">IF(Tasks[[#This Row],[_Pred1Text]]="","",IFERROR(VALUE(LEFT(Tasks[[#This Row],[_Pred1Text]],MIN(FIND("F",Tasks[[#This Row],[_Pred1Text]]&amp;"F"),FIND("S",Tasks[[#This Row],[_Pred1Text]]&amp;"S"),FIND("+",Tasks[[#This Row],[_Pred1Text]]&amp;"+"),FIND("-",Tasks[[#This Row],[_Pred1Text]]&amp;"-"))-1)),""))</f>
        <v/>
      </c>
      <c r="CP1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8" s="42" t="str">
        <f aca="false">IF(Tasks[[#This Row],[_Pred1Text]]="","",TRIM(MID(SUBSTITUTE(SUBSTITUTE(SUBSTITUTE(UPPER(Tasks[[#This Row],[_Predecessors]]),";",",")," ",""),",",REPT(" ",99)),100,99)))</f>
        <v/>
      </c>
      <c r="CS138" s="42" t="str">
        <f aca="false">IF(Tasks[[#This Row],[_Pred2Text]]="","",IFERROR(VALUE(LEFT(Tasks[[#This Row],[_Pred2Text]],MIN(FIND("F",Tasks[[#This Row],[_Pred2Text]]&amp;"F"),FIND("S",Tasks[[#This Row],[_Pred2Text]]&amp;"S"),FIND("+",Tasks[[#This Row],[_Pred2Text]]&amp;"+"),FIND("-",Tasks[[#This Row],[_Pred2Text]]&amp;"-"))-1)),""))</f>
        <v/>
      </c>
      <c r="CT1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8" s="42" t="str">
        <f aca="false">IF(Tasks[[#This Row],[_Pred2Text]]="","",TRIM(MID(SUBSTITUTE(SUBSTITUTE(SUBSTITUTE(UPPER(Tasks[[#This Row],[_Predecessors]]),";",",")," ",""),",",REPT(" ",99)),199,99)))</f>
        <v/>
      </c>
      <c r="CW138" s="42" t="str">
        <f aca="false">IF(Tasks[[#This Row],[_Pred3Text]]="","",IFERROR(VALUE(LEFT(Tasks[[#This Row],[_Pred3Text]],MIN(FIND("F",Tasks[[#This Row],[_Pred3Text]]&amp;"F"),FIND("S",Tasks[[#This Row],[_Pred3Text]]&amp;"S"),FIND("+",Tasks[[#This Row],[_Pred3Text]]&amp;"+"),FIND("-",Tasks[[#This Row],[_Pred3Text]]&amp;"-"))-1)),""))</f>
        <v/>
      </c>
      <c r="CX1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8" s="42" t="str">
        <f aca="false">IF(Tasks[[#This Row],[_Pred3Text]]="","",TRIM(MID(SUBSTITUTE(SUBSTITUTE(SUBSTITUTE(UPPER(Tasks[[#This Row],[_Predecessors]]),";",",")," ",""),",",REPT(" ",99)),298,99)))</f>
        <v/>
      </c>
      <c r="DA138" s="42" t="str">
        <f aca="false">IF(Tasks[[#This Row],[_Pred4Text]]="","",IFERROR(VALUE(LEFT(Tasks[[#This Row],[_Pred4Text]],MIN(FIND("F",Tasks[[#This Row],[_Pred4Text]]&amp;"F"),FIND("S",Tasks[[#This Row],[_Pred4Text]]&amp;"S"),FIND("+",Tasks[[#This Row],[_Pred4Text]]&amp;"+"),FIND("-",Tasks[[#This Row],[_Pred4Text]]&amp;"-"))-1)),""))</f>
        <v/>
      </c>
      <c r="DB1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8" s="42" t="str">
        <f aca="false">IF(OR(Tasks[[#This Row],[Task Name]]="",Tasks[[#This Row],[_Resources]]=""),"",TRIM(MID(SUBSTITUTE(Tasks[[#This Row],[_Resources]],",",REPT(" ",99)),1,99)))</f>
        <v/>
      </c>
      <c r="DE138" s="42" t="str">
        <f aca="false">IF(Tasks[[#This Row],[_Res1Text]]="","",TRIM(MID(SUBSTITUTE(Tasks[[#This Row],[_Resources]],",",REPT(" ",99)),100,99)))</f>
        <v/>
      </c>
      <c r="DF138" s="42" t="str">
        <f aca="false">IF(Tasks[[#This Row],[_Res2Text]]="","",TRIM(MID(SUBSTITUTE(Tasks[[#This Row],[_Resources]],",",REPT(" ",99)),199,99)))</f>
        <v/>
      </c>
      <c r="DG138" s="42" t="str">
        <f aca="false">IF(Tasks[[#This Row],[_Res3Text]]="","",TRIM(MID(SUBSTITUTE(Tasks[[#This Row],[_Resources]],",",REPT(" ",99)),298,99)))</f>
        <v/>
      </c>
      <c r="DH138" s="42" t="n">
        <f aca="false">IF(Tasks[[#This Row],[_Res1Text]]="",0,IFERROR(MATCH(TRIM(LEFT(Tasks[[#This Row],[_Res1Text]],FIND("[",Tasks[[#This Row],[_Res1Text]]&amp;"[")-1)),res_Name,0),IFERROR(MATCH(TRIM(LEFT(Tasks[[#This Row],[_Res1Text]],FIND("[",Tasks[[#This Row],[_Res1Text]]&amp;"[")-1)),res_Initials,0),0)))</f>
        <v>0</v>
      </c>
      <c r="DI138" s="42" t="n">
        <f aca="false">IF(Tasks[[#This Row],[_Res2Text]]="",0,IFERROR(MATCH(TRIM(LEFT(Tasks[[#This Row],[_Res2Text]],FIND("[",Tasks[[#This Row],[_Res2Text]]&amp;"[")-1)),res_Name,0),IFERROR(MATCH(TRIM(LEFT(Tasks[[#This Row],[_Res2Text]],FIND("[",Tasks[[#This Row],[_Res2Text]]&amp;"[")-1)),res_Initials,0),0)))</f>
        <v>0</v>
      </c>
      <c r="DJ138" s="42" t="n">
        <f aca="false">IF(Tasks[[#This Row],[_Res3Text]]="",0,IFERROR(MATCH(TRIM(LEFT(Tasks[[#This Row],[_Res3Text]],FIND("[",Tasks[[#This Row],[_Res3Text]]&amp;"[")-1)),res_Name,0),IFERROR(MATCH(TRIM(LEFT(Tasks[[#This Row],[_Res3Text]],FIND("[",Tasks[[#This Row],[_Res3Text]]&amp;"[")-1)),res_Initials,0),0)))</f>
        <v>0</v>
      </c>
      <c r="DK138" s="42" t="n">
        <f aca="false">IF(Tasks[[#This Row],[_Res4Text]]="",0,IFERROR(MATCH(TRIM(LEFT(Tasks[[#This Row],[_Res4Text]],FIND("[",Tasks[[#This Row],[_Res4Text]]&amp;"[")-1)),res_Name,0),IFERROR(MATCH(TRIM(LEFT(Tasks[[#This Row],[_Res4Text]],FIND("[",Tasks[[#This Row],[_Res4Text]]&amp;"[")-1)),res_Initials,0),0)))</f>
        <v>0</v>
      </c>
      <c r="DL138" s="42" t="str">
        <f aca="false">IF(Tasks[[#This Row],[_Res1Text]]="","",IF(Tasks[[#This Row],[_Res1Row]]&gt;0,INDEX(res_Name,Tasks[[#This Row],[_Res1Row]]),TRIM(LEFT(Tasks[[#This Row],[_Res1Text]],FIND("[",Tasks[[#This Row],[_Res1Text]]&amp;"[")-1))))</f>
        <v/>
      </c>
      <c r="DM1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8" s="42" t="n">
        <f aca="false">IF(NOT(Tasks[[#This Row],[_IsLeaf]]=1),0,(Tasks[[#This Row],[_Resource1]]&lt;&gt;"")+(Tasks[[#This Row],[_Res2]]&lt;&gt;"")+(Tasks[[#This Row],[_Res3]]&lt;&gt;"")+(Tasks[[#This Row],[_Res4]]&lt;&gt;""))</f>
        <v>0</v>
      </c>
      <c r="DO138" s="42" t="str">
        <f aca="false">IF(Tasks[[#This Row],[_Res2Text]]="","",IF(Tasks[[#This Row],[_Res2Row]]&gt;0,INDEX(res_Name,Tasks[[#This Row],[_Res2Row]]),TRIM(LEFT(Tasks[[#This Row],[_Res2Text]],FIND("[",Tasks[[#This Row],[_Res2Text]]&amp;"[")-1))))</f>
        <v/>
      </c>
      <c r="DP1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8" s="42" t="n">
        <f aca="false">IF(OR(NOT(Tasks[[#This Row],[_IsLeaf]]=1),Tasks[[#This Row],[_Res2Row]]=0),0,N(Tasks[[#This Row],[_Days]])*HoursPerDay*IF(Tasks[[#This Row],[_Res2Units]]="",DefaultUnits,Tasks[[#This Row],[_Res2Units]]))</f>
        <v>0</v>
      </c>
      <c r="DR138" s="42" t="n">
        <f aca="false">IF(AND(AND(Tasks[[#This Row],[_IsLeaf]]=1,Tasks[[#This Row],[_LeafTotalWork]]&gt;0),Tasks[[#This Row],[_Res2Work]]&gt;0),Tasks[[#This Row],[_Res2Work]]/(Tasks[[#This Row],[_FinishWorkday]]-Tasks[[#This Row],[_StartWorkday]]+1),0)</f>
        <v>0</v>
      </c>
      <c r="DS138" s="42" t="n">
        <f aca="false">Tasks[[#This Row],[_Res2WorkPerWD]]*MAX(0,Tasks[[#This Row],[_StartWorkday]]-1)</f>
        <v>0</v>
      </c>
      <c r="DT138" s="42" t="n">
        <f aca="false">Tasks[[#This Row],[_Res2Work]]*Tasks[[#This Row],[_LeafProgress]]</f>
        <v>0</v>
      </c>
      <c r="DU138" s="42" t="str">
        <f aca="false">IF(Tasks[[#This Row],[_Res3Text]]="","",IF(Tasks[[#This Row],[_Res3Row]]&gt;0,INDEX(res_Name,Tasks[[#This Row],[_Res3Row]]),TRIM(LEFT(Tasks[[#This Row],[_Res3Text]],FIND("[",Tasks[[#This Row],[_Res3Text]]&amp;"[")-1))))</f>
        <v/>
      </c>
      <c r="DV1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8" s="42" t="n">
        <f aca="false">IF(OR(NOT(Tasks[[#This Row],[_IsLeaf]]=1),Tasks[[#This Row],[_Res3Row]]=0),0,N(Tasks[[#This Row],[_Days]])*HoursPerDay*IF(Tasks[[#This Row],[_Res3Units]]="",DefaultUnits,Tasks[[#This Row],[_Res3Units]]))</f>
        <v>0</v>
      </c>
      <c r="DX138" s="42" t="n">
        <f aca="false">IF(AND(AND(Tasks[[#This Row],[_IsLeaf]]=1,Tasks[[#This Row],[_LeafTotalWork]]&gt;0),Tasks[[#This Row],[_Res3Work]]&gt;0),Tasks[[#This Row],[_Res3Work]]/(Tasks[[#This Row],[_FinishWorkday]]-Tasks[[#This Row],[_StartWorkday]]+1),0)</f>
        <v>0</v>
      </c>
      <c r="DY138" s="42" t="n">
        <f aca="false">Tasks[[#This Row],[_Res3WorkPerWD]]*MAX(0,Tasks[[#This Row],[_StartWorkday]]-1)</f>
        <v>0</v>
      </c>
      <c r="DZ138" s="42" t="n">
        <f aca="false">Tasks[[#This Row],[_Res3Work]]*Tasks[[#This Row],[_LeafProgress]]</f>
        <v>0</v>
      </c>
      <c r="EA138" s="42" t="str">
        <f aca="false">IF(Tasks[[#This Row],[_Res4Text]]="","",IF(Tasks[[#This Row],[_Res4Row]]&gt;0,INDEX(res_Name,Tasks[[#This Row],[_Res4Row]]),TRIM(LEFT(Tasks[[#This Row],[_Res4Text]],FIND("[",Tasks[[#This Row],[_Res4Text]]&amp;"[")-1))))</f>
        <v/>
      </c>
      <c r="EB1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8" s="42" t="n">
        <f aca="false">IF(OR(NOT(Tasks[[#This Row],[_IsLeaf]]=1),Tasks[[#This Row],[_Res4Row]]=0),0,N(Tasks[[#This Row],[_Days]])*HoursPerDay*IF(Tasks[[#This Row],[_Res4Units]]="",DefaultUnits,Tasks[[#This Row],[_Res4Units]]))</f>
        <v>0</v>
      </c>
      <c r="ED138" s="42" t="n">
        <f aca="false">IF(AND(AND(Tasks[[#This Row],[_IsLeaf]]=1,Tasks[[#This Row],[_LeafTotalWork]]&gt;0),Tasks[[#This Row],[_Res4Work]]&gt;0),Tasks[[#This Row],[_Res4Work]]/(Tasks[[#This Row],[_FinishWorkday]]-Tasks[[#This Row],[_StartWorkday]]+1),0)</f>
        <v>0</v>
      </c>
      <c r="EE138" s="42" t="n">
        <f aca="false">Tasks[[#This Row],[_Res4WorkPerWD]]*MAX(0,Tasks[[#This Row],[_StartWorkday]]-1)</f>
        <v>0</v>
      </c>
      <c r="EF138" s="42" t="n">
        <f aca="false">Tasks[[#This Row],[_Res4Work]]*Tasks[[#This Row],[_LeafProgress]]</f>
        <v>0</v>
      </c>
      <c r="EG138" s="42" t="n">
        <f aca="false">IF(ISNUMBER(Tasks[[#This Row],[% Complete]]),Tasks[[#This Row],[% Complete]],IF(Tasks[[#This Row],[Stage]]="",0,IFERROR(INDEX(stg_Pct,MATCH(Tasks[[#This Row],[Stage]],stg_Name,0)),0)))</f>
        <v>0</v>
      </c>
      <c r="EH138" s="42" t="n">
        <f aca="false">IF(NOT(Tasks[[#This Row],[_IsLeaf]]=1),0,IF(N(Tasks[[#This Row],[Actual Finish]])&gt;0,1,MIN(1,Tasks[[#This Row],[_Pct]])))</f>
        <v>0</v>
      </c>
      <c r="EI138" s="42" t="n">
        <f aca="false">IF(OR(NOT(Tasks[[#This Row],[_IsLeaf]]=1),Tasks[[#This Row],[_Res1Row]]=0),0,N(Tasks[[#This Row],[_Days]])*HoursPerDay*IF(Tasks[[#This Row],[_Units1]]="",DefaultUnits,Tasks[[#This Row],[_Units1]]))</f>
        <v>0</v>
      </c>
      <c r="EJ138" s="42" t="n">
        <f aca="false">Tasks[[#This Row],[_LeafWork]]+Tasks[[#This Row],[_Res2Work]]+Tasks[[#This Row],[_Res3Work]]+Tasks[[#This Row],[_Res4Work]]</f>
        <v>0</v>
      </c>
      <c r="EK1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8" s="42" t="n">
        <f aca="false">IF(NOT(Tasks[[#This Row],[_IsLeaf]]=1),0,MAX(_xlfn.MAXIFS(Tasks[_Row],Tasks[_Pred1UID],Tasks[[#This Row],[UID]]),_xlfn.MAXIFS(Tasks[_Row],Tasks[_Pred2UID],Tasks[[#This Row],[UID]]),_xlfn.MAXIFS(Tasks[_Row],Tasks[_Pred3UID],Tasks[[#This Row],[UID]]),_xlfn.MAXIFS(Tasks[_Row],Tasks[_Pred4UID],Tasks[[#This Row],[UID]])))</f>
        <v>0</v>
      </c>
      <c r="ET1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8" s="89" t="str">
        <f aca="false">IF(NOT(Tasks[[#This Row],[_IsLeaf]]=1),"",IF(N(Tasks[[#This Row],[_Days]])&lt;=0,Tasks[[#This Row],[_LeafLateFinish]],WORKDAY.INTL(Tasks[[#This Row],[_LeafLateFinish]],-(Tasks[[#This Row],[_Days]]-1),WorkWeek,Holidays)))</f>
        <v/>
      </c>
      <c r="EW1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8" s="88" t="b">
        <f aca="false">AND(Tasks[[#This Row],[_IsLeaf]]=1,Tasks[[#This Row],[_LeafProgress]]&lt;1,N(Tasks[[#This Row],[_LeafTotalSlack]])&lt;=CriticalSlackDays)</f>
        <v>0</v>
      </c>
      <c r="EY138" s="42" t="n">
        <f aca="false">IF(AND(Tasks[[#This Row],[_IsLeaf]]=1,Tasks[[#This Row],[_ConstraintCode]]=1,Tasks[[#This Row],[Mode]]&lt;&gt;"Manual",N(Tasks[[#This Row],[Actual Start]])=0),MAX(0,N(Tasks[[#This Row],[Free Slack]])),0)</f>
        <v>0</v>
      </c>
      <c r="EZ138" s="89" t="str">
        <f aca="false">IF(NOT(Tasks[[#This Row],[_IsLeaf]]=1),"",IF(Tasks[[#This Row],[_AlapShift]]=0,Tasks[[#This Row],[_LeafCalcStart]],WORKDAY.INTL(Tasks[[#This Row],[_LeafCalcStart]],Tasks[[#This Row],[_AlapShift]],WorkWeek,Holidays)))</f>
        <v/>
      </c>
      <c r="FA138" s="89" t="str">
        <f aca="false">IF(NOT(Tasks[[#This Row],[_IsLeaf]]=1),"",IF(Tasks[[#This Row],[_AlapShift]]=0,Tasks[[#This Row],[_LeafCalcFinish]],WORKDAY.INTL(Tasks[[#This Row],[_LeafCalcFinish]],Tasks[[#This Row],[_AlapShift]],WorkWeek,Holidays)))</f>
        <v/>
      </c>
      <c r="FB138" s="89" t="str">
        <f aca="false">IF(NOT(Tasks[[#This Row],[_IsLeaf]]=1),"",IF(Tasks[[#This Row],[_AlapShift]]=0,Tasks[[#This Row],[_LeafFcstStart]],WORKDAY.INTL(Tasks[[#This Row],[_LeafFcstStart]],Tasks[[#This Row],[_AlapShift]],WorkWeek,Holidays)))</f>
        <v/>
      </c>
      <c r="FC138" s="89" t="str">
        <f aca="false">IF(NOT(Tasks[[#This Row],[_IsLeaf]]=1),"",IF(Tasks[[#This Row],[_AlapShift]]=0,Tasks[[#This Row],[_LeafFcstFinish]],WORKDAY.INTL(Tasks[[#This Row],[_LeafFcstFinish]],Tasks[[#This Row],[_AlapShift]],WorkWeek,Holidays)))</f>
        <v/>
      </c>
      <c r="FD138" s="89" t="str">
        <f aca="false">IF(Tasks[[#This Row],[Task Name]]="","",IF(Tasks[[#This Row],[_IsSummary]],MIN(INDEX(Tasks[_ShownCalcStart],Tasks[[#This Row],[_Row]]+1):INDEX(Tasks[_ShownCalcStart],Tasks[[#This Row],[_Row]]+Tasks[[#This Row],[_Descendants]])),Tasks[[#This Row],[_ShownCalcStart]]))</f>
        <v/>
      </c>
      <c r="FE138" s="89" t="str">
        <f aca="false">IF(Tasks[[#This Row],[Task Name]]="","",IF(Tasks[[#This Row],[_IsSummary]],MAX(INDEX(Tasks[_ShownCalcFinish],Tasks[[#This Row],[_Row]]+1):INDEX(Tasks[_ShownCalcFinish],Tasks[[#This Row],[_Row]]+Tasks[[#This Row],[_Descendants]])),Tasks[[#This Row],[_ShownCalcFinish]]))</f>
        <v/>
      </c>
      <c r="FF1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8" s="42" t="n">
        <f aca="false">IF(AND(Tasks[[#This Row],[_IsLeaf]]=1,Tasks[[#This Row],[_LeafTotalWork]]&gt;0),NETWORKDAYS.INTL(ProjectStart,Tasks[[#This Row],[_ShownFcstStart]],WorkWeek,Holidays),0)</f>
        <v>0</v>
      </c>
      <c r="FS138" s="42" t="n">
        <f aca="false">IF(AND(Tasks[[#This Row],[_IsLeaf]]=1,Tasks[[#This Row],[_LeafTotalWork]]&gt;0),MAX(Tasks[[#This Row],[_StartWorkday]],NETWORKDAYS.INTL(ProjectStart,Tasks[[#This Row],[_ShownFcstFinish]],WorkWeek,Holidays)),0)</f>
        <v>0</v>
      </c>
      <c r="FT138" s="42" t="n">
        <f aca="false">IF(AND(Tasks[[#This Row],[_IsLeaf]]=1,Tasks[[#This Row],[_LeafTotalWork]]&gt;0),Tasks[[#This Row],[_LeafWork]]/(Tasks[[#This Row],[_FinishWorkday]]-Tasks[[#This Row],[_StartWorkday]]+1),0)</f>
        <v>0</v>
      </c>
      <c r="FU138" s="42" t="n">
        <f aca="false">Tasks[[#This Row],[_WorkPerWorkday]]*(Tasks[[#This Row],[_StartWorkday]]-1)</f>
        <v>-0</v>
      </c>
      <c r="FV138" s="42" t="n">
        <f aca="false">IF(Tasks[[#This Row],[_IsLeaf]]=1,MAX(N(Tasks[[#This Row],[_Days]]),0.1),0)</f>
        <v>0</v>
      </c>
      <c r="FW138" s="42" t="n">
        <f aca="false">Tasks[[#This Row],[_WeightDur]]*Tasks[[#This Row],[_LeafProgress]]</f>
        <v>0</v>
      </c>
      <c r="FX138" s="42" t="n">
        <f aca="false">Tasks[[#This Row],[_WeightDur]]*Tasks[[#This Row],[_PlannedPct]]</f>
        <v>0</v>
      </c>
      <c r="FY1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8" s="42" t="str">
        <f aca="false">IF(AND(Tasks[[#This Row],[_IsLeaf]]=1,N(Tasks[[#This Row],[_Days]])=0,Tasks[[#This Row],[_LeafProgress]]&lt;1),Tasks[[#This Row],[_ShownFcstFinish]]+Tasks[[#This Row],[_Row]]/100000,"")</f>
        <v/>
      </c>
      <c r="GA1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8" s="42" t="str">
        <f aca="false">IF(Tasks[[#This Row],[Task Name]]="","",LEFT(Tasks[[#This Row],[WBS]],FIND(".",Tasks[[#This Row],[WBS]]&amp;".")-1))</f>
        <v/>
      </c>
      <c r="GC138" s="42" t="str">
        <f aca="false">IF(AND(Tasks[[#This Row],[Task Name]]&lt;&gt;"",Tasks[[#This Row],[_Level]]=1),Tasks[[#This Row],[_Row]],"")</f>
        <v/>
      </c>
      <c r="GD138" s="42" t="str">
        <f aca="false">IF(AND(Tasks[[#This Row],[_IsLeaf]]=1,N(Tasks[[#This Row],[_Days]])=0),Tasks[[#This Row],[Planned Finish]]+Tasks[[#This Row],[_Row]]/100000,"")</f>
        <v/>
      </c>
      <c r="GE138" s="42" t="str">
        <f aca="false">IF(AND(Tasks[[#This Row],[_IsLeaf]]=1,Tasks[[#This Row],[_LeafProgress]]&lt;1,OR(N(Tasks[[#This Row],[Finish Var]])&gt;0,Tasks[[#This Row],[Status]]="Late Start")),MAX(0,Tasks[[#This Row],[Finish Var]])+1-Tasks[[#This Row],[_Row]]/1000000,"")</f>
        <v/>
      </c>
      <c r="GF138" s="42" t="str">
        <f aca="false">IF(AND(Tasks[[#This Row],[_IsLeaf]]=1,N(Tasks[[#This Row],[Actual Start]])=0,Tasks[[#This Row],[_ShownFcstStart]]&gt;=StatusDate,Tasks[[#This Row],[_ShownFcstStart]]&lt;=LookaheadEnd),Tasks[[#This Row],[_ShownFcstStart]]+Tasks[[#This Row],[_Row]]/100000,"")</f>
        <v/>
      </c>
      <c r="GG138" s="42" t="str">
        <f aca="false">IF(AND(Tasks[[#This Row],[_IsLeaf]]=1,Tasks[[#This Row],[_LeafProgress]]&lt;1,Tasks[[#This Row],[_ShownFcstFinish]]&gt;=StatusDate,Tasks[[#This Row],[_ShownFcstFinish]]&lt;=LookaheadEnd),Tasks[[#This Row],[_ShownFcstFinish]]+Tasks[[#This Row],[_Row]]/100000,"")</f>
        <v/>
      </c>
      <c r="GH138" s="42" t="str">
        <f aca="false">IF(Tasks[[#This Row],[_LeafCritical]],Tasks[[#This Row],[_ShownFcstStart]]+Tasks[[#This Row],[_Row]]/100000,"")</f>
        <v/>
      </c>
      <c r="GI138" s="42" t="n">
        <f aca="false">Tasks[[#This Row],[_LeafWork]]*Tasks[[#This Row],[_LeafProgress]]</f>
        <v>0</v>
      </c>
      <c r="GJ138" s="89" t="str">
        <f aca="false">IF(AND(Tasks[[#This Row],[_IsLeaf]]=1,Tasks[[#This Row],[_LeafProgress]]&gt;=1),IF(N(Tasks[[#This Row],[Actual Finish]])&gt;0,Tasks[[#This Row],[Actual Finish]],Tasks[[#This Row],[_ShownFcstFinish]]),"")</f>
        <v/>
      </c>
      <c r="GK138" s="42" t="n">
        <f aca="false">IF(Tasks[[#This Row],[_IsLeaf]]=1,N(Tasks[[#This Row],[Story Points]]),0)</f>
        <v>0</v>
      </c>
      <c r="GL138" s="42" t="str">
        <f aca="false">""</f>
        <v/>
      </c>
      <c r="GM138" s="88" t="b">
        <f aca="false">IF(Tasks[[#This Row],[Task Name]]="",FALSE(),AND(Tasks[[#This Row],[_IsLeaf]]=1,N(Tasks[[#This Row],[_Days]])=0))</f>
        <v>0</v>
      </c>
      <c r="GN138" s="89" t="n">
        <f aca="false">IF(Tasks[[#This Row],[Task Name]]="",0,IF(AND(Tasks[[#This Row],[_IsLeaf]]=1,NOT(Tasks[[#This Row],[_IsMilestone]]),N(Tasks[[#This Row],[Progress]])&gt;0),Tasks[[#This Row],[Start]],0))</f>
        <v>0</v>
      </c>
      <c r="GO138" s="89" t="n">
        <f aca="false">IF(Tasks[[#This Row],[_DoneFrom]]=0,0,IF(Tasks[[#This Row],[Progress]]&gt;=1,Tasks[[#This Row],[Finish]],MAX(Tasks[[#This Row],[_DoneFrom]],Tasks[[#This Row],[Start]]+ROUND((Tasks[[#This Row],[Finish]]-Tasks[[#This Row],[Start]]+1)*Tasks[[#This Row],[Progress]],0)-1)))</f>
        <v>0</v>
      </c>
      <c r="GP138" s="89" t="n">
        <f aca="false">IF(Tasks[[#This Row],[Task Name]]="",0,IF(OR(NOT(Tasks[[#This Row],[_IsLeaf]]=1),Tasks[[#This Row],[_IsMilestone]],N(Tasks[[#This Row],[Progress]])&gt;=1),0,IF(Tasks[[#This Row],[_DoneTo]]&gt;0,Tasks[[#This Row],[_DoneTo]]+1,Tasks[[#This Row],[Start]])))</f>
        <v>0</v>
      </c>
      <c r="GQ138" s="89" t="n">
        <f aca="false">IF(Tasks[[#This Row],[_RemFrom]]=0,0,Tasks[[#This Row],[Finish]])</f>
        <v>0</v>
      </c>
      <c r="GR138" s="88" t="b">
        <f aca="false">IF(Tasks[[#This Row],[Task Name]]="",FALSE(),OR(NOT(BaselineSet),N(Tasks[[#This Row],[Baseline Start]])&gt;0))</f>
        <v>0</v>
      </c>
      <c r="GS1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8" s="90" t="str">
        <f aca="false">IF(Tasks[[#This Row],[_IsLeaf]]=1,Tasks[[#This Row],[_Row]],"")</f>
        <v/>
      </c>
      <c r="GW138" s="90" t="str">
        <f aca="false">IFERROR(INDEX(Tasks[UID],SMALL(Tasks[_PickKey],Tasks[[#This Row],[_Row]]))&amp;" "&amp;INDEX(Tasks[Task Name],SMALL(Tasks[_PickKey],Tasks[[#This Row],[_Row]])),"")</f>
        <v/>
      </c>
      <c r="GX138" s="42" t="str">
        <f aca="false">IF(Tasks[[#This Row],[Task Name]]="","",IF(Tasks[[#This Row],[_IsSummary]],NETWORKDAYS.INTL(Tasks[[#This Row],[Start]],Tasks[[#This Row],[Finish]],WorkWeek,Holidays),N(Tasks[[#This Row],[_Days]])))</f>
        <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3"/>
      <c r="U139" s="23"/>
      <c r="V139" s="83"/>
      <c r="W139" s="23"/>
      <c r="X139" s="83"/>
      <c r="Y139" s="23"/>
      <c r="Z139" s="83"/>
      <c r="AA139" s="23"/>
      <c r="AB139" s="23"/>
      <c r="AC139" s="7"/>
      <c r="AD139" s="7"/>
      <c r="AE139" s="62" t="str">
        <f aca="false">IF(Tasks[[#This Row],[Task Name]]="","",IF(Tasks[[#This Row],[_IsSummary]],MIN(INDEX(Tasks[_ShownFcstStart],Tasks[[#This Row],[_Row]]+1):INDEX(Tasks[_ShownFcstStart],Tasks[[#This Row],[_Row]]+Tasks[[#This Row],[_Descendants]])),Tasks[[#This Row],[_ShownFcstStart]]))</f>
        <v/>
      </c>
      <c r="AF139" s="62"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9" s="7"/>
      <c r="AK139" s="22"/>
      <c r="AL139" s="23"/>
      <c r="AM139" s="7"/>
      <c r="AN139" s="46"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2" t="str">
        <f aca="false">IF(Tasks[[#This Row],[Task Name]]="","",IF(N(Tasks[[#This Row],[Baseline Start]])&gt;0,Tasks[[#This Row],[Baseline Start]],Tasks[[#This Row],[_CalcStart]]))</f>
        <v/>
      </c>
      <c r="AR139" s="62" t="str">
        <f aca="false">IF(Tasks[[#This Row],[Task Name]]="","",IF(N(Tasks[[#This Row],[Baseline Finish]])&gt;0,Tasks[[#This Row],[Baseline Finish]],Tasks[[#This Row],[_CalcFinish]]))</f>
        <v/>
      </c>
      <c r="AS139" s="46" t="str">
        <f aca="false">IF(Tasks[[#This Row],[Task Name]]="","",IF(Tasks[[#This Row],[Start]]&gt;=Tasks[[#This Row],[Planned Start]],NETWORKDAYS.INTL(Tasks[[#This Row],[Planned Start]],Tasks[[#This Row],[Start]],WorkWeek,Holidays)-1,1-NETWORKDAYS.INTL(Tasks[[#This Row],[Start]],Tasks[[#This Row],[Planned Start]],WorkWeek,Holidays)))</f>
        <v/>
      </c>
      <c r="AT139" s="62" t="str">
        <f aca="false">IF(Tasks[[#This Row],[Task Name]]="","",IF(Tasks[[#This Row],[_IsSummary]],MIN(INDEX(Tasks[_LeafLateStart],Tasks[[#This Row],[_Row]]+1):INDEX(Tasks[_LeafLateStart],Tasks[[#This Row],[_Row]]+Tasks[[#This Row],[_Descendants]])),Tasks[[#This Row],[_LeafLateStart]]))</f>
        <v/>
      </c>
      <c r="AU139" s="62" t="str">
        <f aca="false">IF(Tasks[[#This Row],[Task Name]]="","",IF(Tasks[[#This Row],[_IsSummary]],MAX(INDEX(Tasks[_LeafLateFinish],Tasks[[#This Row],[_Row]]+1):INDEX(Tasks[_LeafLateFinish],Tasks[[#This Row],[_Row]]+Tasks[[#This Row],[_Descendants]])),Tasks[[#This Row],[_LeafLateFinish]]))</f>
        <v/>
      </c>
      <c r="AV139" s="46"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4"/>
      <c r="BA1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5"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6"/>
      <c r="BJ139" s="22"/>
      <c r="BK139" s="46" t="str">
        <f aca="false">IF(OR(Tasks[[#This Row],[Task Name]]="",Tasks[[#This Row],[Baseline Duration]]=""),"",Tasks[[#This Row],[_SpanDays]]-N(Tasks[[#This Row],[Baseline Duration]]))</f>
        <v/>
      </c>
      <c r="BL139" s="85" t="str">
        <f aca="false">IF(OR(Tasks[[#This Row],[Task Name]]="",Tasks[[#This Row],[Baseline Work]]=""),"",Tasks[[#This Row],[Work]]-N(Tasks[[#This Row],[Baseline Work]]))</f>
        <v/>
      </c>
      <c r="BM139" s="62" t="str">
        <f aca="false">IF(Tasks[[#This Row],[Task Name]]="","",IF(OR(TakeBaseline="Yes",N(Tasks[[#This Row],[Baseline Start]])=0),Tasks[[#This Row],[Start]],Tasks[[#This Row],[Baseline Start]]))</f>
        <v/>
      </c>
      <c r="BN139" s="62"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5" t="str">
        <f aca="false">IF(Tasks[[#This Row],[Task Name]]="","",IF(OR(TakeBaseline="Yes",N(Tasks[[#This Row],[Baseline Work]])=0),Tasks[[#This Row],[Work]],Tasks[[#This Row],[Baseline Work]]))</f>
        <v/>
      </c>
      <c r="BQ139" s="7"/>
      <c r="BR139" s="7"/>
      <c r="BS139" s="22"/>
      <c r="BT139" s="87"/>
      <c r="BU139" s="42" t="str">
        <f aca="false">IF(Tasks[[#This Row],[Task Name]]="","",MAX(1,N(Tasks[[#This Row],[Level]])))</f>
        <v/>
      </c>
      <c r="BV139" s="42" t="n">
        <f aca="false">ROW()-ROW(Tasks[[#Headers],[ID]])</f>
        <v>134</v>
      </c>
      <c r="BW139" s="42" t="n">
        <f aca="false">IF(OR(Tasks[[#This Row],[Task Name]]="",Tasks[[#This Row],[_Level]]&lt;=1),0,IFERROR(LOOKUP(2,1/(Tasks[[#Headers],[_Level]]:Tasks[[#This Row],[_Level]]=Tasks[[#This Row],[_Level]]-1),ROW(Tasks[[#Headers],[_Level]]:Tasks[[#This Row],[_Level]])),0))</f>
        <v>0</v>
      </c>
      <c r="BX139" s="42" t="n">
        <f aca="false">IFERROR(N(INDEX(Tasks[_Level],Tasks[[#This Row],[_Row]]+1)),0)</f>
        <v>0</v>
      </c>
      <c r="BY139" s="88" t="b">
        <f aca="false">AND(Tasks[[#This Row],[Task Name]]&lt;&gt;"",Tasks[[#This Row],[_NextLevel]]&gt;Tasks[[#This Row],[_Level]])</f>
        <v>0</v>
      </c>
      <c r="BZ139" s="42" t="n">
        <f aca="false">IF(Tasks[[#This Row],[_IsSummary]],COUNTIF(Tasks[WBS],Tasks[[#This Row],[WBS]]&amp;".*"),0)</f>
        <v>0</v>
      </c>
      <c r="CA139" s="42" t="n">
        <f aca="false">IF(AND(Tasks[[#This Row],[Task Name]]&lt;&gt;"",NOT(Tasks[[#This Row],[_IsSummary]])),1,0)</f>
        <v>0</v>
      </c>
      <c r="CB139" s="42" t="n">
        <f aca="false">IF(N(Tasks[[#This Row],[_Pred1UID]])=0,0,IFERROR(MATCH(Tasks[[#This Row],[_Pred1UID]],Tasks[UID],0),-1))</f>
        <v>0</v>
      </c>
      <c r="CC139" s="42" t="n">
        <f aca="false">IF(N(Tasks[[#This Row],[_Pred2UID]])=0,0,IFERROR(MATCH(Tasks[[#This Row],[_Pred2UID]],Tasks[UID],0),-1))</f>
        <v>0</v>
      </c>
      <c r="CD139" s="42" t="n">
        <f aca="false">IF(N(Tasks[[#This Row],[_Pred3UID]])=0,0,IFERROR(MATCH(Tasks[[#This Row],[_Pred3UID]],Tasks[UID],0),-1))</f>
        <v>0</v>
      </c>
      <c r="CE139" s="42" t="n">
        <f aca="false">IF(N(Tasks[[#This Row],[_Pred4UID]])=0,0,IFERROR(MATCH(Tasks[[#This Row],[_Pred4UID]],Tasks[UID],0),-1))</f>
        <v>0</v>
      </c>
      <c r="CF1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9" s="89" t="n">
        <f aca="false">IF(OR(Tasks[[#This Row],[_ConstraintCode]]=2,Tasks[[#This Row],[_ConstraintCode]]=3,Tasks[[#This Row],[_ConstraintCode]]=4,Tasks[[#This Row],[_ConstraintCode]]=6),Tasks[[#This Row],[_ConstraintStart]],0)</f>
        <v>0</v>
      </c>
      <c r="CI139" s="89" t="n">
        <f aca="false">IF(OR(Tasks[[#This Row],[_ConstraintCode]]=2,Tasks[[#This Row],[_ConstraintCode]]=3,Tasks[[#This Row],[_ConstraintCode]]=5,Tasks[[#This Row],[_ConstraintCode]]=7),Tasks[[#This Row],[_ConstraintStart]],2958465)</f>
        <v>2958465</v>
      </c>
      <c r="CJ1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9" s="89" t="str">
        <f aca="false">IF(NOT(Tasks[[#This Row],[_IsLeaf]]=1),"",IF(N(Tasks[[#This Row],[_Days]])&lt;=0,Tasks[[#This Row],[_LeafCalcStart]],WORKDAY.INTL(Tasks[[#This Row],[_LeafCalcStart]],Tasks[[#This Row],[_Days]]-1,WorkWeek,Holidays)))</f>
        <v/>
      </c>
      <c r="CL1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9" s="42" t="str">
        <f aca="false">IF(Tasks[[#This Row],[_Predecessors]]="","",TRIM(MID(SUBSTITUTE(SUBSTITUTE(SUBSTITUTE(UPPER(Tasks[[#This Row],[_Predecessors]]),";",",")," ",""),",",REPT(" ",99)),1,99)))</f>
        <v/>
      </c>
      <c r="CO139" s="42" t="str">
        <f aca="false">IF(Tasks[[#This Row],[_Pred1Text]]="","",IFERROR(VALUE(LEFT(Tasks[[#This Row],[_Pred1Text]],MIN(FIND("F",Tasks[[#This Row],[_Pred1Text]]&amp;"F"),FIND("S",Tasks[[#This Row],[_Pred1Text]]&amp;"S"),FIND("+",Tasks[[#This Row],[_Pred1Text]]&amp;"+"),FIND("-",Tasks[[#This Row],[_Pred1Text]]&amp;"-"))-1)),""))</f>
        <v/>
      </c>
      <c r="CP1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9" s="42" t="str">
        <f aca="false">IF(Tasks[[#This Row],[_Pred1Text]]="","",TRIM(MID(SUBSTITUTE(SUBSTITUTE(SUBSTITUTE(UPPER(Tasks[[#This Row],[_Predecessors]]),";",",")," ",""),",",REPT(" ",99)),100,99)))</f>
        <v/>
      </c>
      <c r="CS139" s="42" t="str">
        <f aca="false">IF(Tasks[[#This Row],[_Pred2Text]]="","",IFERROR(VALUE(LEFT(Tasks[[#This Row],[_Pred2Text]],MIN(FIND("F",Tasks[[#This Row],[_Pred2Text]]&amp;"F"),FIND("S",Tasks[[#This Row],[_Pred2Text]]&amp;"S"),FIND("+",Tasks[[#This Row],[_Pred2Text]]&amp;"+"),FIND("-",Tasks[[#This Row],[_Pred2Text]]&amp;"-"))-1)),""))</f>
        <v/>
      </c>
      <c r="CT1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9" s="42" t="str">
        <f aca="false">IF(Tasks[[#This Row],[_Pred2Text]]="","",TRIM(MID(SUBSTITUTE(SUBSTITUTE(SUBSTITUTE(UPPER(Tasks[[#This Row],[_Predecessors]]),";",",")," ",""),",",REPT(" ",99)),199,99)))</f>
        <v/>
      </c>
      <c r="CW139" s="42" t="str">
        <f aca="false">IF(Tasks[[#This Row],[_Pred3Text]]="","",IFERROR(VALUE(LEFT(Tasks[[#This Row],[_Pred3Text]],MIN(FIND("F",Tasks[[#This Row],[_Pred3Text]]&amp;"F"),FIND("S",Tasks[[#This Row],[_Pred3Text]]&amp;"S"),FIND("+",Tasks[[#This Row],[_Pred3Text]]&amp;"+"),FIND("-",Tasks[[#This Row],[_Pred3Text]]&amp;"-"))-1)),""))</f>
        <v/>
      </c>
      <c r="CX1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9" s="42" t="str">
        <f aca="false">IF(Tasks[[#This Row],[_Pred3Text]]="","",TRIM(MID(SUBSTITUTE(SUBSTITUTE(SUBSTITUTE(UPPER(Tasks[[#This Row],[_Predecessors]]),";",",")," ",""),",",REPT(" ",99)),298,99)))</f>
        <v/>
      </c>
      <c r="DA139" s="42" t="str">
        <f aca="false">IF(Tasks[[#This Row],[_Pred4Text]]="","",IFERROR(VALUE(LEFT(Tasks[[#This Row],[_Pred4Text]],MIN(FIND("F",Tasks[[#This Row],[_Pred4Text]]&amp;"F"),FIND("S",Tasks[[#This Row],[_Pred4Text]]&amp;"S"),FIND("+",Tasks[[#This Row],[_Pred4Text]]&amp;"+"),FIND("-",Tasks[[#This Row],[_Pred4Text]]&amp;"-"))-1)),""))</f>
        <v/>
      </c>
      <c r="DB1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9" s="42" t="str">
        <f aca="false">IF(OR(Tasks[[#This Row],[Task Name]]="",Tasks[[#This Row],[_Resources]]=""),"",TRIM(MID(SUBSTITUTE(Tasks[[#This Row],[_Resources]],",",REPT(" ",99)),1,99)))</f>
        <v/>
      </c>
      <c r="DE139" s="42" t="str">
        <f aca="false">IF(Tasks[[#This Row],[_Res1Text]]="","",TRIM(MID(SUBSTITUTE(Tasks[[#This Row],[_Resources]],",",REPT(" ",99)),100,99)))</f>
        <v/>
      </c>
      <c r="DF139" s="42" t="str">
        <f aca="false">IF(Tasks[[#This Row],[_Res2Text]]="","",TRIM(MID(SUBSTITUTE(Tasks[[#This Row],[_Resources]],",",REPT(" ",99)),199,99)))</f>
        <v/>
      </c>
      <c r="DG139" s="42" t="str">
        <f aca="false">IF(Tasks[[#This Row],[_Res3Text]]="","",TRIM(MID(SUBSTITUTE(Tasks[[#This Row],[_Resources]],",",REPT(" ",99)),298,99)))</f>
        <v/>
      </c>
      <c r="DH139" s="42" t="n">
        <f aca="false">IF(Tasks[[#This Row],[_Res1Text]]="",0,IFERROR(MATCH(TRIM(LEFT(Tasks[[#This Row],[_Res1Text]],FIND("[",Tasks[[#This Row],[_Res1Text]]&amp;"[")-1)),res_Name,0),IFERROR(MATCH(TRIM(LEFT(Tasks[[#This Row],[_Res1Text]],FIND("[",Tasks[[#This Row],[_Res1Text]]&amp;"[")-1)),res_Initials,0),0)))</f>
        <v>0</v>
      </c>
      <c r="DI139" s="42" t="n">
        <f aca="false">IF(Tasks[[#This Row],[_Res2Text]]="",0,IFERROR(MATCH(TRIM(LEFT(Tasks[[#This Row],[_Res2Text]],FIND("[",Tasks[[#This Row],[_Res2Text]]&amp;"[")-1)),res_Name,0),IFERROR(MATCH(TRIM(LEFT(Tasks[[#This Row],[_Res2Text]],FIND("[",Tasks[[#This Row],[_Res2Text]]&amp;"[")-1)),res_Initials,0),0)))</f>
        <v>0</v>
      </c>
      <c r="DJ139" s="42" t="n">
        <f aca="false">IF(Tasks[[#This Row],[_Res3Text]]="",0,IFERROR(MATCH(TRIM(LEFT(Tasks[[#This Row],[_Res3Text]],FIND("[",Tasks[[#This Row],[_Res3Text]]&amp;"[")-1)),res_Name,0),IFERROR(MATCH(TRIM(LEFT(Tasks[[#This Row],[_Res3Text]],FIND("[",Tasks[[#This Row],[_Res3Text]]&amp;"[")-1)),res_Initials,0),0)))</f>
        <v>0</v>
      </c>
      <c r="DK139" s="42" t="n">
        <f aca="false">IF(Tasks[[#This Row],[_Res4Text]]="",0,IFERROR(MATCH(TRIM(LEFT(Tasks[[#This Row],[_Res4Text]],FIND("[",Tasks[[#This Row],[_Res4Text]]&amp;"[")-1)),res_Name,0),IFERROR(MATCH(TRIM(LEFT(Tasks[[#This Row],[_Res4Text]],FIND("[",Tasks[[#This Row],[_Res4Text]]&amp;"[")-1)),res_Initials,0),0)))</f>
        <v>0</v>
      </c>
      <c r="DL139" s="42" t="str">
        <f aca="false">IF(Tasks[[#This Row],[_Res1Text]]="","",IF(Tasks[[#This Row],[_Res1Row]]&gt;0,INDEX(res_Name,Tasks[[#This Row],[_Res1Row]]),TRIM(LEFT(Tasks[[#This Row],[_Res1Text]],FIND("[",Tasks[[#This Row],[_Res1Text]]&amp;"[")-1))))</f>
        <v/>
      </c>
      <c r="DM1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9" s="42" t="n">
        <f aca="false">IF(NOT(Tasks[[#This Row],[_IsLeaf]]=1),0,(Tasks[[#This Row],[_Resource1]]&lt;&gt;"")+(Tasks[[#This Row],[_Res2]]&lt;&gt;"")+(Tasks[[#This Row],[_Res3]]&lt;&gt;"")+(Tasks[[#This Row],[_Res4]]&lt;&gt;""))</f>
        <v>0</v>
      </c>
      <c r="DO139" s="42" t="str">
        <f aca="false">IF(Tasks[[#This Row],[_Res2Text]]="","",IF(Tasks[[#This Row],[_Res2Row]]&gt;0,INDEX(res_Name,Tasks[[#This Row],[_Res2Row]]),TRIM(LEFT(Tasks[[#This Row],[_Res2Text]],FIND("[",Tasks[[#This Row],[_Res2Text]]&amp;"[")-1))))</f>
        <v/>
      </c>
      <c r="DP1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9" s="42" t="n">
        <f aca="false">IF(OR(NOT(Tasks[[#This Row],[_IsLeaf]]=1),Tasks[[#This Row],[_Res2Row]]=0),0,N(Tasks[[#This Row],[_Days]])*HoursPerDay*IF(Tasks[[#This Row],[_Res2Units]]="",DefaultUnits,Tasks[[#This Row],[_Res2Units]]))</f>
        <v>0</v>
      </c>
      <c r="DR139" s="42" t="n">
        <f aca="false">IF(AND(AND(Tasks[[#This Row],[_IsLeaf]]=1,Tasks[[#This Row],[_LeafTotalWork]]&gt;0),Tasks[[#This Row],[_Res2Work]]&gt;0),Tasks[[#This Row],[_Res2Work]]/(Tasks[[#This Row],[_FinishWorkday]]-Tasks[[#This Row],[_StartWorkday]]+1),0)</f>
        <v>0</v>
      </c>
      <c r="DS139" s="42" t="n">
        <f aca="false">Tasks[[#This Row],[_Res2WorkPerWD]]*MAX(0,Tasks[[#This Row],[_StartWorkday]]-1)</f>
        <v>0</v>
      </c>
      <c r="DT139" s="42" t="n">
        <f aca="false">Tasks[[#This Row],[_Res2Work]]*Tasks[[#This Row],[_LeafProgress]]</f>
        <v>0</v>
      </c>
      <c r="DU139" s="42" t="str">
        <f aca="false">IF(Tasks[[#This Row],[_Res3Text]]="","",IF(Tasks[[#This Row],[_Res3Row]]&gt;0,INDEX(res_Name,Tasks[[#This Row],[_Res3Row]]),TRIM(LEFT(Tasks[[#This Row],[_Res3Text]],FIND("[",Tasks[[#This Row],[_Res3Text]]&amp;"[")-1))))</f>
        <v/>
      </c>
      <c r="DV1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9" s="42" t="n">
        <f aca="false">IF(OR(NOT(Tasks[[#This Row],[_IsLeaf]]=1),Tasks[[#This Row],[_Res3Row]]=0),0,N(Tasks[[#This Row],[_Days]])*HoursPerDay*IF(Tasks[[#This Row],[_Res3Units]]="",DefaultUnits,Tasks[[#This Row],[_Res3Units]]))</f>
        <v>0</v>
      </c>
      <c r="DX139" s="42" t="n">
        <f aca="false">IF(AND(AND(Tasks[[#This Row],[_IsLeaf]]=1,Tasks[[#This Row],[_LeafTotalWork]]&gt;0),Tasks[[#This Row],[_Res3Work]]&gt;0),Tasks[[#This Row],[_Res3Work]]/(Tasks[[#This Row],[_FinishWorkday]]-Tasks[[#This Row],[_StartWorkday]]+1),0)</f>
        <v>0</v>
      </c>
      <c r="DY139" s="42" t="n">
        <f aca="false">Tasks[[#This Row],[_Res3WorkPerWD]]*MAX(0,Tasks[[#This Row],[_StartWorkday]]-1)</f>
        <v>0</v>
      </c>
      <c r="DZ139" s="42" t="n">
        <f aca="false">Tasks[[#This Row],[_Res3Work]]*Tasks[[#This Row],[_LeafProgress]]</f>
        <v>0</v>
      </c>
      <c r="EA139" s="42" t="str">
        <f aca="false">IF(Tasks[[#This Row],[_Res4Text]]="","",IF(Tasks[[#This Row],[_Res4Row]]&gt;0,INDEX(res_Name,Tasks[[#This Row],[_Res4Row]]),TRIM(LEFT(Tasks[[#This Row],[_Res4Text]],FIND("[",Tasks[[#This Row],[_Res4Text]]&amp;"[")-1))))</f>
        <v/>
      </c>
      <c r="EB1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9" s="42" t="n">
        <f aca="false">IF(OR(NOT(Tasks[[#This Row],[_IsLeaf]]=1),Tasks[[#This Row],[_Res4Row]]=0),0,N(Tasks[[#This Row],[_Days]])*HoursPerDay*IF(Tasks[[#This Row],[_Res4Units]]="",DefaultUnits,Tasks[[#This Row],[_Res4Units]]))</f>
        <v>0</v>
      </c>
      <c r="ED139" s="42" t="n">
        <f aca="false">IF(AND(AND(Tasks[[#This Row],[_IsLeaf]]=1,Tasks[[#This Row],[_LeafTotalWork]]&gt;0),Tasks[[#This Row],[_Res4Work]]&gt;0),Tasks[[#This Row],[_Res4Work]]/(Tasks[[#This Row],[_FinishWorkday]]-Tasks[[#This Row],[_StartWorkday]]+1),0)</f>
        <v>0</v>
      </c>
      <c r="EE139" s="42" t="n">
        <f aca="false">Tasks[[#This Row],[_Res4WorkPerWD]]*MAX(0,Tasks[[#This Row],[_StartWorkday]]-1)</f>
        <v>0</v>
      </c>
      <c r="EF139" s="42" t="n">
        <f aca="false">Tasks[[#This Row],[_Res4Work]]*Tasks[[#This Row],[_LeafProgress]]</f>
        <v>0</v>
      </c>
      <c r="EG139" s="42" t="n">
        <f aca="false">IF(ISNUMBER(Tasks[[#This Row],[% Complete]]),Tasks[[#This Row],[% Complete]],IF(Tasks[[#This Row],[Stage]]="",0,IFERROR(INDEX(stg_Pct,MATCH(Tasks[[#This Row],[Stage]],stg_Name,0)),0)))</f>
        <v>0</v>
      </c>
      <c r="EH139" s="42" t="n">
        <f aca="false">IF(NOT(Tasks[[#This Row],[_IsLeaf]]=1),0,IF(N(Tasks[[#This Row],[Actual Finish]])&gt;0,1,MIN(1,Tasks[[#This Row],[_Pct]])))</f>
        <v>0</v>
      </c>
      <c r="EI139" s="42" t="n">
        <f aca="false">IF(OR(NOT(Tasks[[#This Row],[_IsLeaf]]=1),Tasks[[#This Row],[_Res1Row]]=0),0,N(Tasks[[#This Row],[_Days]])*HoursPerDay*IF(Tasks[[#This Row],[_Units1]]="",DefaultUnits,Tasks[[#This Row],[_Units1]]))</f>
        <v>0</v>
      </c>
      <c r="EJ139" s="42" t="n">
        <f aca="false">Tasks[[#This Row],[_LeafWork]]+Tasks[[#This Row],[_Res2Work]]+Tasks[[#This Row],[_Res3Work]]+Tasks[[#This Row],[_Res4Work]]</f>
        <v>0</v>
      </c>
      <c r="EK1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9" s="42" t="n">
        <f aca="false">IF(NOT(Tasks[[#This Row],[_IsLeaf]]=1),0,MAX(_xlfn.MAXIFS(Tasks[_Row],Tasks[_Pred1UID],Tasks[[#This Row],[UID]]),_xlfn.MAXIFS(Tasks[_Row],Tasks[_Pred2UID],Tasks[[#This Row],[UID]]),_xlfn.MAXIFS(Tasks[_Row],Tasks[_Pred3UID],Tasks[[#This Row],[UID]]),_xlfn.MAXIFS(Tasks[_Row],Tasks[_Pred4UID],Tasks[[#This Row],[UID]])))</f>
        <v>0</v>
      </c>
      <c r="ET1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9" s="89" t="str">
        <f aca="false">IF(NOT(Tasks[[#This Row],[_IsLeaf]]=1),"",IF(N(Tasks[[#This Row],[_Days]])&lt;=0,Tasks[[#This Row],[_LeafLateFinish]],WORKDAY.INTL(Tasks[[#This Row],[_LeafLateFinish]],-(Tasks[[#This Row],[_Days]]-1),WorkWeek,Holidays)))</f>
        <v/>
      </c>
      <c r="EW1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9" s="88" t="b">
        <f aca="false">AND(Tasks[[#This Row],[_IsLeaf]]=1,Tasks[[#This Row],[_LeafProgress]]&lt;1,N(Tasks[[#This Row],[_LeafTotalSlack]])&lt;=CriticalSlackDays)</f>
        <v>0</v>
      </c>
      <c r="EY139" s="42" t="n">
        <f aca="false">IF(AND(Tasks[[#This Row],[_IsLeaf]]=1,Tasks[[#This Row],[_ConstraintCode]]=1,Tasks[[#This Row],[Mode]]&lt;&gt;"Manual",N(Tasks[[#This Row],[Actual Start]])=0),MAX(0,N(Tasks[[#This Row],[Free Slack]])),0)</f>
        <v>0</v>
      </c>
      <c r="EZ139" s="89" t="str">
        <f aca="false">IF(NOT(Tasks[[#This Row],[_IsLeaf]]=1),"",IF(Tasks[[#This Row],[_AlapShift]]=0,Tasks[[#This Row],[_LeafCalcStart]],WORKDAY.INTL(Tasks[[#This Row],[_LeafCalcStart]],Tasks[[#This Row],[_AlapShift]],WorkWeek,Holidays)))</f>
        <v/>
      </c>
      <c r="FA139" s="89" t="str">
        <f aca="false">IF(NOT(Tasks[[#This Row],[_IsLeaf]]=1),"",IF(Tasks[[#This Row],[_AlapShift]]=0,Tasks[[#This Row],[_LeafCalcFinish]],WORKDAY.INTL(Tasks[[#This Row],[_LeafCalcFinish]],Tasks[[#This Row],[_AlapShift]],WorkWeek,Holidays)))</f>
        <v/>
      </c>
      <c r="FB139" s="89" t="str">
        <f aca="false">IF(NOT(Tasks[[#This Row],[_IsLeaf]]=1),"",IF(Tasks[[#This Row],[_AlapShift]]=0,Tasks[[#This Row],[_LeafFcstStart]],WORKDAY.INTL(Tasks[[#This Row],[_LeafFcstStart]],Tasks[[#This Row],[_AlapShift]],WorkWeek,Holidays)))</f>
        <v/>
      </c>
      <c r="FC139" s="89" t="str">
        <f aca="false">IF(NOT(Tasks[[#This Row],[_IsLeaf]]=1),"",IF(Tasks[[#This Row],[_AlapShift]]=0,Tasks[[#This Row],[_LeafFcstFinish]],WORKDAY.INTL(Tasks[[#This Row],[_LeafFcstFinish]],Tasks[[#This Row],[_AlapShift]],WorkWeek,Holidays)))</f>
        <v/>
      </c>
      <c r="FD139" s="89" t="str">
        <f aca="false">IF(Tasks[[#This Row],[Task Name]]="","",IF(Tasks[[#This Row],[_IsSummary]],MIN(INDEX(Tasks[_ShownCalcStart],Tasks[[#This Row],[_Row]]+1):INDEX(Tasks[_ShownCalcStart],Tasks[[#This Row],[_Row]]+Tasks[[#This Row],[_Descendants]])),Tasks[[#This Row],[_ShownCalcStart]]))</f>
        <v/>
      </c>
      <c r="FE139" s="89" t="str">
        <f aca="false">IF(Tasks[[#This Row],[Task Name]]="","",IF(Tasks[[#This Row],[_IsSummary]],MAX(INDEX(Tasks[_ShownCalcFinish],Tasks[[#This Row],[_Row]]+1):INDEX(Tasks[_ShownCalcFinish],Tasks[[#This Row],[_Row]]+Tasks[[#This Row],[_Descendants]])),Tasks[[#This Row],[_ShownCalcFinish]]))</f>
        <v/>
      </c>
      <c r="FF1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9" s="42" t="n">
        <f aca="false">IF(AND(Tasks[[#This Row],[_IsLeaf]]=1,Tasks[[#This Row],[_LeafTotalWork]]&gt;0),NETWORKDAYS.INTL(ProjectStart,Tasks[[#This Row],[_ShownFcstStart]],WorkWeek,Holidays),0)</f>
        <v>0</v>
      </c>
      <c r="FS139" s="42" t="n">
        <f aca="false">IF(AND(Tasks[[#This Row],[_IsLeaf]]=1,Tasks[[#This Row],[_LeafTotalWork]]&gt;0),MAX(Tasks[[#This Row],[_StartWorkday]],NETWORKDAYS.INTL(ProjectStart,Tasks[[#This Row],[_ShownFcstFinish]],WorkWeek,Holidays)),0)</f>
        <v>0</v>
      </c>
      <c r="FT139" s="42" t="n">
        <f aca="false">IF(AND(Tasks[[#This Row],[_IsLeaf]]=1,Tasks[[#This Row],[_LeafTotalWork]]&gt;0),Tasks[[#This Row],[_LeafWork]]/(Tasks[[#This Row],[_FinishWorkday]]-Tasks[[#This Row],[_StartWorkday]]+1),0)</f>
        <v>0</v>
      </c>
      <c r="FU139" s="42" t="n">
        <f aca="false">Tasks[[#This Row],[_WorkPerWorkday]]*(Tasks[[#This Row],[_StartWorkday]]-1)</f>
        <v>-0</v>
      </c>
      <c r="FV139" s="42" t="n">
        <f aca="false">IF(Tasks[[#This Row],[_IsLeaf]]=1,MAX(N(Tasks[[#This Row],[_Days]]),0.1),0)</f>
        <v>0</v>
      </c>
      <c r="FW139" s="42" t="n">
        <f aca="false">Tasks[[#This Row],[_WeightDur]]*Tasks[[#This Row],[_LeafProgress]]</f>
        <v>0</v>
      </c>
      <c r="FX139" s="42" t="n">
        <f aca="false">Tasks[[#This Row],[_WeightDur]]*Tasks[[#This Row],[_PlannedPct]]</f>
        <v>0</v>
      </c>
      <c r="FY1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9" s="42" t="str">
        <f aca="false">IF(AND(Tasks[[#This Row],[_IsLeaf]]=1,N(Tasks[[#This Row],[_Days]])=0,Tasks[[#This Row],[_LeafProgress]]&lt;1),Tasks[[#This Row],[_ShownFcstFinish]]+Tasks[[#This Row],[_Row]]/100000,"")</f>
        <v/>
      </c>
      <c r="GA1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9" s="42" t="str">
        <f aca="false">IF(Tasks[[#This Row],[Task Name]]="","",LEFT(Tasks[[#This Row],[WBS]],FIND(".",Tasks[[#This Row],[WBS]]&amp;".")-1))</f>
        <v/>
      </c>
      <c r="GC139" s="42" t="str">
        <f aca="false">IF(AND(Tasks[[#This Row],[Task Name]]&lt;&gt;"",Tasks[[#This Row],[_Level]]=1),Tasks[[#This Row],[_Row]],"")</f>
        <v/>
      </c>
      <c r="GD139" s="42" t="str">
        <f aca="false">IF(AND(Tasks[[#This Row],[_IsLeaf]]=1,N(Tasks[[#This Row],[_Days]])=0),Tasks[[#This Row],[Planned Finish]]+Tasks[[#This Row],[_Row]]/100000,"")</f>
        <v/>
      </c>
      <c r="GE139" s="42" t="str">
        <f aca="false">IF(AND(Tasks[[#This Row],[_IsLeaf]]=1,Tasks[[#This Row],[_LeafProgress]]&lt;1,OR(N(Tasks[[#This Row],[Finish Var]])&gt;0,Tasks[[#This Row],[Status]]="Late Start")),MAX(0,Tasks[[#This Row],[Finish Var]])+1-Tasks[[#This Row],[_Row]]/1000000,"")</f>
        <v/>
      </c>
      <c r="GF139" s="42" t="str">
        <f aca="false">IF(AND(Tasks[[#This Row],[_IsLeaf]]=1,N(Tasks[[#This Row],[Actual Start]])=0,Tasks[[#This Row],[_ShownFcstStart]]&gt;=StatusDate,Tasks[[#This Row],[_ShownFcstStart]]&lt;=LookaheadEnd),Tasks[[#This Row],[_ShownFcstStart]]+Tasks[[#This Row],[_Row]]/100000,"")</f>
        <v/>
      </c>
      <c r="GG139" s="42" t="str">
        <f aca="false">IF(AND(Tasks[[#This Row],[_IsLeaf]]=1,Tasks[[#This Row],[_LeafProgress]]&lt;1,Tasks[[#This Row],[_ShownFcstFinish]]&gt;=StatusDate,Tasks[[#This Row],[_ShownFcstFinish]]&lt;=LookaheadEnd),Tasks[[#This Row],[_ShownFcstFinish]]+Tasks[[#This Row],[_Row]]/100000,"")</f>
        <v/>
      </c>
      <c r="GH139" s="42" t="str">
        <f aca="false">IF(Tasks[[#This Row],[_LeafCritical]],Tasks[[#This Row],[_ShownFcstStart]]+Tasks[[#This Row],[_Row]]/100000,"")</f>
        <v/>
      </c>
      <c r="GI139" s="42" t="n">
        <f aca="false">Tasks[[#This Row],[_LeafWork]]*Tasks[[#This Row],[_LeafProgress]]</f>
        <v>0</v>
      </c>
      <c r="GJ139" s="89" t="str">
        <f aca="false">IF(AND(Tasks[[#This Row],[_IsLeaf]]=1,Tasks[[#This Row],[_LeafProgress]]&gt;=1),IF(N(Tasks[[#This Row],[Actual Finish]])&gt;0,Tasks[[#This Row],[Actual Finish]],Tasks[[#This Row],[_ShownFcstFinish]]),"")</f>
        <v/>
      </c>
      <c r="GK139" s="42" t="n">
        <f aca="false">IF(Tasks[[#This Row],[_IsLeaf]]=1,N(Tasks[[#This Row],[Story Points]]),0)</f>
        <v>0</v>
      </c>
      <c r="GL139" s="42" t="str">
        <f aca="false">""</f>
        <v/>
      </c>
      <c r="GM139" s="88" t="b">
        <f aca="false">IF(Tasks[[#This Row],[Task Name]]="",FALSE(),AND(Tasks[[#This Row],[_IsLeaf]]=1,N(Tasks[[#This Row],[_Days]])=0))</f>
        <v>0</v>
      </c>
      <c r="GN139" s="89" t="n">
        <f aca="false">IF(Tasks[[#This Row],[Task Name]]="",0,IF(AND(Tasks[[#This Row],[_IsLeaf]]=1,NOT(Tasks[[#This Row],[_IsMilestone]]),N(Tasks[[#This Row],[Progress]])&gt;0),Tasks[[#This Row],[Start]],0))</f>
        <v>0</v>
      </c>
      <c r="GO139" s="89" t="n">
        <f aca="false">IF(Tasks[[#This Row],[_DoneFrom]]=0,0,IF(Tasks[[#This Row],[Progress]]&gt;=1,Tasks[[#This Row],[Finish]],MAX(Tasks[[#This Row],[_DoneFrom]],Tasks[[#This Row],[Start]]+ROUND((Tasks[[#This Row],[Finish]]-Tasks[[#This Row],[Start]]+1)*Tasks[[#This Row],[Progress]],0)-1)))</f>
        <v>0</v>
      </c>
      <c r="GP139" s="89" t="n">
        <f aca="false">IF(Tasks[[#This Row],[Task Name]]="",0,IF(OR(NOT(Tasks[[#This Row],[_IsLeaf]]=1),Tasks[[#This Row],[_IsMilestone]],N(Tasks[[#This Row],[Progress]])&gt;=1),0,IF(Tasks[[#This Row],[_DoneTo]]&gt;0,Tasks[[#This Row],[_DoneTo]]+1,Tasks[[#This Row],[Start]])))</f>
        <v>0</v>
      </c>
      <c r="GQ139" s="89" t="n">
        <f aca="false">IF(Tasks[[#This Row],[_RemFrom]]=0,0,Tasks[[#This Row],[Finish]])</f>
        <v>0</v>
      </c>
      <c r="GR139" s="88" t="b">
        <f aca="false">IF(Tasks[[#This Row],[Task Name]]="",FALSE(),OR(NOT(BaselineSet),N(Tasks[[#This Row],[Baseline Start]])&gt;0))</f>
        <v>0</v>
      </c>
      <c r="GS1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9" s="90" t="str">
        <f aca="false">IF(Tasks[[#This Row],[_IsLeaf]]=1,Tasks[[#This Row],[_Row]],"")</f>
        <v/>
      </c>
      <c r="GW139" s="90" t="str">
        <f aca="false">IFERROR(INDEX(Tasks[UID],SMALL(Tasks[_PickKey],Tasks[[#This Row],[_Row]]))&amp;" "&amp;INDEX(Tasks[Task Name],SMALL(Tasks[_PickKey],Tasks[[#This Row],[_Row]])),"")</f>
        <v/>
      </c>
      <c r="GX139" s="42" t="str">
        <f aca="false">IF(Tasks[[#This Row],[Task Name]]="","",IF(Tasks[[#This Row],[_IsSummary]],NETWORKDAYS.INTL(Tasks[[#This Row],[Start]],Tasks[[#This Row],[Finish]],WorkWeek,Holidays),N(Tasks[[#This Row],[_Days]])))</f>
        <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3"/>
      <c r="U140" s="23"/>
      <c r="V140" s="83"/>
      <c r="W140" s="23"/>
      <c r="X140" s="83"/>
      <c r="Y140" s="23"/>
      <c r="Z140" s="83"/>
      <c r="AA140" s="23"/>
      <c r="AB140" s="23"/>
      <c r="AC140" s="7"/>
      <c r="AD140" s="7"/>
      <c r="AE140" s="62" t="str">
        <f aca="false">IF(Tasks[[#This Row],[Task Name]]="","",IF(Tasks[[#This Row],[_IsSummary]],MIN(INDEX(Tasks[_ShownFcstStart],Tasks[[#This Row],[_Row]]+1):INDEX(Tasks[_ShownFcstStart],Tasks[[#This Row],[_Row]]+Tasks[[#This Row],[_Descendants]])),Tasks[[#This Row],[_ShownFcstStart]]))</f>
        <v/>
      </c>
      <c r="AF140" s="62"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0" s="7"/>
      <c r="AK140" s="22"/>
      <c r="AL140" s="23"/>
      <c r="AM140" s="7"/>
      <c r="AN140" s="46"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2" t="str">
        <f aca="false">IF(Tasks[[#This Row],[Task Name]]="","",IF(N(Tasks[[#This Row],[Baseline Start]])&gt;0,Tasks[[#This Row],[Baseline Start]],Tasks[[#This Row],[_CalcStart]]))</f>
        <v/>
      </c>
      <c r="AR140" s="62" t="str">
        <f aca="false">IF(Tasks[[#This Row],[Task Name]]="","",IF(N(Tasks[[#This Row],[Baseline Finish]])&gt;0,Tasks[[#This Row],[Baseline Finish]],Tasks[[#This Row],[_CalcFinish]]))</f>
        <v/>
      </c>
      <c r="AS140" s="46" t="str">
        <f aca="false">IF(Tasks[[#This Row],[Task Name]]="","",IF(Tasks[[#This Row],[Start]]&gt;=Tasks[[#This Row],[Planned Start]],NETWORKDAYS.INTL(Tasks[[#This Row],[Planned Start]],Tasks[[#This Row],[Start]],WorkWeek,Holidays)-1,1-NETWORKDAYS.INTL(Tasks[[#This Row],[Start]],Tasks[[#This Row],[Planned Start]],WorkWeek,Holidays)))</f>
        <v/>
      </c>
      <c r="AT140" s="62" t="str">
        <f aca="false">IF(Tasks[[#This Row],[Task Name]]="","",IF(Tasks[[#This Row],[_IsSummary]],MIN(INDEX(Tasks[_LeafLateStart],Tasks[[#This Row],[_Row]]+1):INDEX(Tasks[_LeafLateStart],Tasks[[#This Row],[_Row]]+Tasks[[#This Row],[_Descendants]])),Tasks[[#This Row],[_LeafLateStart]]))</f>
        <v/>
      </c>
      <c r="AU140" s="62" t="str">
        <f aca="false">IF(Tasks[[#This Row],[Task Name]]="","",IF(Tasks[[#This Row],[_IsSummary]],MAX(INDEX(Tasks[_LeafLateFinish],Tasks[[#This Row],[_Row]]+1):INDEX(Tasks[_LeafLateFinish],Tasks[[#This Row],[_Row]]+Tasks[[#This Row],[_Descendants]])),Tasks[[#This Row],[_LeafLateFinish]]))</f>
        <v/>
      </c>
      <c r="AV140" s="46"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4"/>
      <c r="BA1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5"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6"/>
      <c r="BJ140" s="22"/>
      <c r="BK140" s="46" t="str">
        <f aca="false">IF(OR(Tasks[[#This Row],[Task Name]]="",Tasks[[#This Row],[Baseline Duration]]=""),"",Tasks[[#This Row],[_SpanDays]]-N(Tasks[[#This Row],[Baseline Duration]]))</f>
        <v/>
      </c>
      <c r="BL140" s="85" t="str">
        <f aca="false">IF(OR(Tasks[[#This Row],[Task Name]]="",Tasks[[#This Row],[Baseline Work]]=""),"",Tasks[[#This Row],[Work]]-N(Tasks[[#This Row],[Baseline Work]]))</f>
        <v/>
      </c>
      <c r="BM140" s="62" t="str">
        <f aca="false">IF(Tasks[[#This Row],[Task Name]]="","",IF(OR(TakeBaseline="Yes",N(Tasks[[#This Row],[Baseline Start]])=0),Tasks[[#This Row],[Start]],Tasks[[#This Row],[Baseline Start]]))</f>
        <v/>
      </c>
      <c r="BN140" s="62"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5" t="str">
        <f aca="false">IF(Tasks[[#This Row],[Task Name]]="","",IF(OR(TakeBaseline="Yes",N(Tasks[[#This Row],[Baseline Work]])=0),Tasks[[#This Row],[Work]],Tasks[[#This Row],[Baseline Work]]))</f>
        <v/>
      </c>
      <c r="BQ140" s="7"/>
      <c r="BR140" s="7"/>
      <c r="BS140" s="22"/>
      <c r="BT140" s="87"/>
      <c r="BU140" s="42" t="str">
        <f aca="false">IF(Tasks[[#This Row],[Task Name]]="","",MAX(1,N(Tasks[[#This Row],[Level]])))</f>
        <v/>
      </c>
      <c r="BV140" s="42" t="n">
        <f aca="false">ROW()-ROW(Tasks[[#Headers],[ID]])</f>
        <v>135</v>
      </c>
      <c r="BW140" s="42" t="n">
        <f aca="false">IF(OR(Tasks[[#This Row],[Task Name]]="",Tasks[[#This Row],[_Level]]&lt;=1),0,IFERROR(LOOKUP(2,1/(Tasks[[#Headers],[_Level]]:Tasks[[#This Row],[_Level]]=Tasks[[#This Row],[_Level]]-1),ROW(Tasks[[#Headers],[_Level]]:Tasks[[#This Row],[_Level]])),0))</f>
        <v>0</v>
      </c>
      <c r="BX140" s="42" t="n">
        <f aca="false">IFERROR(N(INDEX(Tasks[_Level],Tasks[[#This Row],[_Row]]+1)),0)</f>
        <v>0</v>
      </c>
      <c r="BY140" s="88" t="b">
        <f aca="false">AND(Tasks[[#This Row],[Task Name]]&lt;&gt;"",Tasks[[#This Row],[_NextLevel]]&gt;Tasks[[#This Row],[_Level]])</f>
        <v>0</v>
      </c>
      <c r="BZ140" s="42" t="n">
        <f aca="false">IF(Tasks[[#This Row],[_IsSummary]],COUNTIF(Tasks[WBS],Tasks[[#This Row],[WBS]]&amp;".*"),0)</f>
        <v>0</v>
      </c>
      <c r="CA140" s="42" t="n">
        <f aca="false">IF(AND(Tasks[[#This Row],[Task Name]]&lt;&gt;"",NOT(Tasks[[#This Row],[_IsSummary]])),1,0)</f>
        <v>0</v>
      </c>
      <c r="CB140" s="42" t="n">
        <f aca="false">IF(N(Tasks[[#This Row],[_Pred1UID]])=0,0,IFERROR(MATCH(Tasks[[#This Row],[_Pred1UID]],Tasks[UID],0),-1))</f>
        <v>0</v>
      </c>
      <c r="CC140" s="42" t="n">
        <f aca="false">IF(N(Tasks[[#This Row],[_Pred2UID]])=0,0,IFERROR(MATCH(Tasks[[#This Row],[_Pred2UID]],Tasks[UID],0),-1))</f>
        <v>0</v>
      </c>
      <c r="CD140" s="42" t="n">
        <f aca="false">IF(N(Tasks[[#This Row],[_Pred3UID]])=0,0,IFERROR(MATCH(Tasks[[#This Row],[_Pred3UID]],Tasks[UID],0),-1))</f>
        <v>0</v>
      </c>
      <c r="CE140" s="42" t="n">
        <f aca="false">IF(N(Tasks[[#This Row],[_Pred4UID]])=0,0,IFERROR(MATCH(Tasks[[#This Row],[_Pred4UID]],Tasks[UID],0),-1))</f>
        <v>0</v>
      </c>
      <c r="CF1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0" s="89" t="n">
        <f aca="false">IF(OR(Tasks[[#This Row],[_ConstraintCode]]=2,Tasks[[#This Row],[_ConstraintCode]]=3,Tasks[[#This Row],[_ConstraintCode]]=4,Tasks[[#This Row],[_ConstraintCode]]=6),Tasks[[#This Row],[_ConstraintStart]],0)</f>
        <v>0</v>
      </c>
      <c r="CI140" s="89" t="n">
        <f aca="false">IF(OR(Tasks[[#This Row],[_ConstraintCode]]=2,Tasks[[#This Row],[_ConstraintCode]]=3,Tasks[[#This Row],[_ConstraintCode]]=5,Tasks[[#This Row],[_ConstraintCode]]=7),Tasks[[#This Row],[_ConstraintStart]],2958465)</f>
        <v>2958465</v>
      </c>
      <c r="CJ1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0" s="89" t="str">
        <f aca="false">IF(NOT(Tasks[[#This Row],[_IsLeaf]]=1),"",IF(N(Tasks[[#This Row],[_Days]])&lt;=0,Tasks[[#This Row],[_LeafCalcStart]],WORKDAY.INTL(Tasks[[#This Row],[_LeafCalcStart]],Tasks[[#This Row],[_Days]]-1,WorkWeek,Holidays)))</f>
        <v/>
      </c>
      <c r="CL1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0" s="42" t="str">
        <f aca="false">IF(Tasks[[#This Row],[_Predecessors]]="","",TRIM(MID(SUBSTITUTE(SUBSTITUTE(SUBSTITUTE(UPPER(Tasks[[#This Row],[_Predecessors]]),";",",")," ",""),",",REPT(" ",99)),1,99)))</f>
        <v/>
      </c>
      <c r="CO140" s="42" t="str">
        <f aca="false">IF(Tasks[[#This Row],[_Pred1Text]]="","",IFERROR(VALUE(LEFT(Tasks[[#This Row],[_Pred1Text]],MIN(FIND("F",Tasks[[#This Row],[_Pred1Text]]&amp;"F"),FIND("S",Tasks[[#This Row],[_Pred1Text]]&amp;"S"),FIND("+",Tasks[[#This Row],[_Pred1Text]]&amp;"+"),FIND("-",Tasks[[#This Row],[_Pred1Text]]&amp;"-"))-1)),""))</f>
        <v/>
      </c>
      <c r="CP1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0" s="42" t="str">
        <f aca="false">IF(Tasks[[#This Row],[_Pred1Text]]="","",TRIM(MID(SUBSTITUTE(SUBSTITUTE(SUBSTITUTE(UPPER(Tasks[[#This Row],[_Predecessors]]),";",",")," ",""),",",REPT(" ",99)),100,99)))</f>
        <v/>
      </c>
      <c r="CS140" s="42" t="str">
        <f aca="false">IF(Tasks[[#This Row],[_Pred2Text]]="","",IFERROR(VALUE(LEFT(Tasks[[#This Row],[_Pred2Text]],MIN(FIND("F",Tasks[[#This Row],[_Pred2Text]]&amp;"F"),FIND("S",Tasks[[#This Row],[_Pred2Text]]&amp;"S"),FIND("+",Tasks[[#This Row],[_Pred2Text]]&amp;"+"),FIND("-",Tasks[[#This Row],[_Pred2Text]]&amp;"-"))-1)),""))</f>
        <v/>
      </c>
      <c r="CT1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0" s="42" t="str">
        <f aca="false">IF(Tasks[[#This Row],[_Pred2Text]]="","",TRIM(MID(SUBSTITUTE(SUBSTITUTE(SUBSTITUTE(UPPER(Tasks[[#This Row],[_Predecessors]]),";",",")," ",""),",",REPT(" ",99)),199,99)))</f>
        <v/>
      </c>
      <c r="CW140" s="42" t="str">
        <f aca="false">IF(Tasks[[#This Row],[_Pred3Text]]="","",IFERROR(VALUE(LEFT(Tasks[[#This Row],[_Pred3Text]],MIN(FIND("F",Tasks[[#This Row],[_Pred3Text]]&amp;"F"),FIND("S",Tasks[[#This Row],[_Pred3Text]]&amp;"S"),FIND("+",Tasks[[#This Row],[_Pred3Text]]&amp;"+"),FIND("-",Tasks[[#This Row],[_Pred3Text]]&amp;"-"))-1)),""))</f>
        <v/>
      </c>
      <c r="CX1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0" s="42" t="str">
        <f aca="false">IF(Tasks[[#This Row],[_Pred3Text]]="","",TRIM(MID(SUBSTITUTE(SUBSTITUTE(SUBSTITUTE(UPPER(Tasks[[#This Row],[_Predecessors]]),";",",")," ",""),",",REPT(" ",99)),298,99)))</f>
        <v/>
      </c>
      <c r="DA140" s="42" t="str">
        <f aca="false">IF(Tasks[[#This Row],[_Pred4Text]]="","",IFERROR(VALUE(LEFT(Tasks[[#This Row],[_Pred4Text]],MIN(FIND("F",Tasks[[#This Row],[_Pred4Text]]&amp;"F"),FIND("S",Tasks[[#This Row],[_Pred4Text]]&amp;"S"),FIND("+",Tasks[[#This Row],[_Pred4Text]]&amp;"+"),FIND("-",Tasks[[#This Row],[_Pred4Text]]&amp;"-"))-1)),""))</f>
        <v/>
      </c>
      <c r="DB1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0" s="42" t="str">
        <f aca="false">IF(OR(Tasks[[#This Row],[Task Name]]="",Tasks[[#This Row],[_Resources]]=""),"",TRIM(MID(SUBSTITUTE(Tasks[[#This Row],[_Resources]],",",REPT(" ",99)),1,99)))</f>
        <v/>
      </c>
      <c r="DE140" s="42" t="str">
        <f aca="false">IF(Tasks[[#This Row],[_Res1Text]]="","",TRIM(MID(SUBSTITUTE(Tasks[[#This Row],[_Resources]],",",REPT(" ",99)),100,99)))</f>
        <v/>
      </c>
      <c r="DF140" s="42" t="str">
        <f aca="false">IF(Tasks[[#This Row],[_Res2Text]]="","",TRIM(MID(SUBSTITUTE(Tasks[[#This Row],[_Resources]],",",REPT(" ",99)),199,99)))</f>
        <v/>
      </c>
      <c r="DG140" s="42" t="str">
        <f aca="false">IF(Tasks[[#This Row],[_Res3Text]]="","",TRIM(MID(SUBSTITUTE(Tasks[[#This Row],[_Resources]],",",REPT(" ",99)),298,99)))</f>
        <v/>
      </c>
      <c r="DH140" s="42" t="n">
        <f aca="false">IF(Tasks[[#This Row],[_Res1Text]]="",0,IFERROR(MATCH(TRIM(LEFT(Tasks[[#This Row],[_Res1Text]],FIND("[",Tasks[[#This Row],[_Res1Text]]&amp;"[")-1)),res_Name,0),IFERROR(MATCH(TRIM(LEFT(Tasks[[#This Row],[_Res1Text]],FIND("[",Tasks[[#This Row],[_Res1Text]]&amp;"[")-1)),res_Initials,0),0)))</f>
        <v>0</v>
      </c>
      <c r="DI140" s="42" t="n">
        <f aca="false">IF(Tasks[[#This Row],[_Res2Text]]="",0,IFERROR(MATCH(TRIM(LEFT(Tasks[[#This Row],[_Res2Text]],FIND("[",Tasks[[#This Row],[_Res2Text]]&amp;"[")-1)),res_Name,0),IFERROR(MATCH(TRIM(LEFT(Tasks[[#This Row],[_Res2Text]],FIND("[",Tasks[[#This Row],[_Res2Text]]&amp;"[")-1)),res_Initials,0),0)))</f>
        <v>0</v>
      </c>
      <c r="DJ140" s="42" t="n">
        <f aca="false">IF(Tasks[[#This Row],[_Res3Text]]="",0,IFERROR(MATCH(TRIM(LEFT(Tasks[[#This Row],[_Res3Text]],FIND("[",Tasks[[#This Row],[_Res3Text]]&amp;"[")-1)),res_Name,0),IFERROR(MATCH(TRIM(LEFT(Tasks[[#This Row],[_Res3Text]],FIND("[",Tasks[[#This Row],[_Res3Text]]&amp;"[")-1)),res_Initials,0),0)))</f>
        <v>0</v>
      </c>
      <c r="DK140" s="42" t="n">
        <f aca="false">IF(Tasks[[#This Row],[_Res4Text]]="",0,IFERROR(MATCH(TRIM(LEFT(Tasks[[#This Row],[_Res4Text]],FIND("[",Tasks[[#This Row],[_Res4Text]]&amp;"[")-1)),res_Name,0),IFERROR(MATCH(TRIM(LEFT(Tasks[[#This Row],[_Res4Text]],FIND("[",Tasks[[#This Row],[_Res4Text]]&amp;"[")-1)),res_Initials,0),0)))</f>
        <v>0</v>
      </c>
      <c r="DL140" s="42" t="str">
        <f aca="false">IF(Tasks[[#This Row],[_Res1Text]]="","",IF(Tasks[[#This Row],[_Res1Row]]&gt;0,INDEX(res_Name,Tasks[[#This Row],[_Res1Row]]),TRIM(LEFT(Tasks[[#This Row],[_Res1Text]],FIND("[",Tasks[[#This Row],[_Res1Text]]&amp;"[")-1))))</f>
        <v/>
      </c>
      <c r="DM1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0" s="42" t="n">
        <f aca="false">IF(NOT(Tasks[[#This Row],[_IsLeaf]]=1),0,(Tasks[[#This Row],[_Resource1]]&lt;&gt;"")+(Tasks[[#This Row],[_Res2]]&lt;&gt;"")+(Tasks[[#This Row],[_Res3]]&lt;&gt;"")+(Tasks[[#This Row],[_Res4]]&lt;&gt;""))</f>
        <v>0</v>
      </c>
      <c r="DO140" s="42" t="str">
        <f aca="false">IF(Tasks[[#This Row],[_Res2Text]]="","",IF(Tasks[[#This Row],[_Res2Row]]&gt;0,INDEX(res_Name,Tasks[[#This Row],[_Res2Row]]),TRIM(LEFT(Tasks[[#This Row],[_Res2Text]],FIND("[",Tasks[[#This Row],[_Res2Text]]&amp;"[")-1))))</f>
        <v/>
      </c>
      <c r="DP1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0" s="42" t="n">
        <f aca="false">IF(OR(NOT(Tasks[[#This Row],[_IsLeaf]]=1),Tasks[[#This Row],[_Res2Row]]=0),0,N(Tasks[[#This Row],[_Days]])*HoursPerDay*IF(Tasks[[#This Row],[_Res2Units]]="",DefaultUnits,Tasks[[#This Row],[_Res2Units]]))</f>
        <v>0</v>
      </c>
      <c r="DR140" s="42" t="n">
        <f aca="false">IF(AND(AND(Tasks[[#This Row],[_IsLeaf]]=1,Tasks[[#This Row],[_LeafTotalWork]]&gt;0),Tasks[[#This Row],[_Res2Work]]&gt;0),Tasks[[#This Row],[_Res2Work]]/(Tasks[[#This Row],[_FinishWorkday]]-Tasks[[#This Row],[_StartWorkday]]+1),0)</f>
        <v>0</v>
      </c>
      <c r="DS140" s="42" t="n">
        <f aca="false">Tasks[[#This Row],[_Res2WorkPerWD]]*MAX(0,Tasks[[#This Row],[_StartWorkday]]-1)</f>
        <v>0</v>
      </c>
      <c r="DT140" s="42" t="n">
        <f aca="false">Tasks[[#This Row],[_Res2Work]]*Tasks[[#This Row],[_LeafProgress]]</f>
        <v>0</v>
      </c>
      <c r="DU140" s="42" t="str">
        <f aca="false">IF(Tasks[[#This Row],[_Res3Text]]="","",IF(Tasks[[#This Row],[_Res3Row]]&gt;0,INDEX(res_Name,Tasks[[#This Row],[_Res3Row]]),TRIM(LEFT(Tasks[[#This Row],[_Res3Text]],FIND("[",Tasks[[#This Row],[_Res3Text]]&amp;"[")-1))))</f>
        <v/>
      </c>
      <c r="DV1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0" s="42" t="n">
        <f aca="false">IF(OR(NOT(Tasks[[#This Row],[_IsLeaf]]=1),Tasks[[#This Row],[_Res3Row]]=0),0,N(Tasks[[#This Row],[_Days]])*HoursPerDay*IF(Tasks[[#This Row],[_Res3Units]]="",DefaultUnits,Tasks[[#This Row],[_Res3Units]]))</f>
        <v>0</v>
      </c>
      <c r="DX140" s="42" t="n">
        <f aca="false">IF(AND(AND(Tasks[[#This Row],[_IsLeaf]]=1,Tasks[[#This Row],[_LeafTotalWork]]&gt;0),Tasks[[#This Row],[_Res3Work]]&gt;0),Tasks[[#This Row],[_Res3Work]]/(Tasks[[#This Row],[_FinishWorkday]]-Tasks[[#This Row],[_StartWorkday]]+1),0)</f>
        <v>0</v>
      </c>
      <c r="DY140" s="42" t="n">
        <f aca="false">Tasks[[#This Row],[_Res3WorkPerWD]]*MAX(0,Tasks[[#This Row],[_StartWorkday]]-1)</f>
        <v>0</v>
      </c>
      <c r="DZ140" s="42" t="n">
        <f aca="false">Tasks[[#This Row],[_Res3Work]]*Tasks[[#This Row],[_LeafProgress]]</f>
        <v>0</v>
      </c>
      <c r="EA140" s="42" t="str">
        <f aca="false">IF(Tasks[[#This Row],[_Res4Text]]="","",IF(Tasks[[#This Row],[_Res4Row]]&gt;0,INDEX(res_Name,Tasks[[#This Row],[_Res4Row]]),TRIM(LEFT(Tasks[[#This Row],[_Res4Text]],FIND("[",Tasks[[#This Row],[_Res4Text]]&amp;"[")-1))))</f>
        <v/>
      </c>
      <c r="EB1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0" s="42" t="n">
        <f aca="false">IF(OR(NOT(Tasks[[#This Row],[_IsLeaf]]=1),Tasks[[#This Row],[_Res4Row]]=0),0,N(Tasks[[#This Row],[_Days]])*HoursPerDay*IF(Tasks[[#This Row],[_Res4Units]]="",DefaultUnits,Tasks[[#This Row],[_Res4Units]]))</f>
        <v>0</v>
      </c>
      <c r="ED140" s="42" t="n">
        <f aca="false">IF(AND(AND(Tasks[[#This Row],[_IsLeaf]]=1,Tasks[[#This Row],[_LeafTotalWork]]&gt;0),Tasks[[#This Row],[_Res4Work]]&gt;0),Tasks[[#This Row],[_Res4Work]]/(Tasks[[#This Row],[_FinishWorkday]]-Tasks[[#This Row],[_StartWorkday]]+1),0)</f>
        <v>0</v>
      </c>
      <c r="EE140" s="42" t="n">
        <f aca="false">Tasks[[#This Row],[_Res4WorkPerWD]]*MAX(0,Tasks[[#This Row],[_StartWorkday]]-1)</f>
        <v>0</v>
      </c>
      <c r="EF140" s="42" t="n">
        <f aca="false">Tasks[[#This Row],[_Res4Work]]*Tasks[[#This Row],[_LeafProgress]]</f>
        <v>0</v>
      </c>
      <c r="EG140" s="42" t="n">
        <f aca="false">IF(ISNUMBER(Tasks[[#This Row],[% Complete]]),Tasks[[#This Row],[% Complete]],IF(Tasks[[#This Row],[Stage]]="",0,IFERROR(INDEX(stg_Pct,MATCH(Tasks[[#This Row],[Stage]],stg_Name,0)),0)))</f>
        <v>0</v>
      </c>
      <c r="EH140" s="42" t="n">
        <f aca="false">IF(NOT(Tasks[[#This Row],[_IsLeaf]]=1),0,IF(N(Tasks[[#This Row],[Actual Finish]])&gt;0,1,MIN(1,Tasks[[#This Row],[_Pct]])))</f>
        <v>0</v>
      </c>
      <c r="EI140" s="42" t="n">
        <f aca="false">IF(OR(NOT(Tasks[[#This Row],[_IsLeaf]]=1),Tasks[[#This Row],[_Res1Row]]=0),0,N(Tasks[[#This Row],[_Days]])*HoursPerDay*IF(Tasks[[#This Row],[_Units1]]="",DefaultUnits,Tasks[[#This Row],[_Units1]]))</f>
        <v>0</v>
      </c>
      <c r="EJ140" s="42" t="n">
        <f aca="false">Tasks[[#This Row],[_LeafWork]]+Tasks[[#This Row],[_Res2Work]]+Tasks[[#This Row],[_Res3Work]]+Tasks[[#This Row],[_Res4Work]]</f>
        <v>0</v>
      </c>
      <c r="EK1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0" s="42" t="n">
        <f aca="false">IF(NOT(Tasks[[#This Row],[_IsLeaf]]=1),0,MAX(_xlfn.MAXIFS(Tasks[_Row],Tasks[_Pred1UID],Tasks[[#This Row],[UID]]),_xlfn.MAXIFS(Tasks[_Row],Tasks[_Pred2UID],Tasks[[#This Row],[UID]]),_xlfn.MAXIFS(Tasks[_Row],Tasks[_Pred3UID],Tasks[[#This Row],[UID]]),_xlfn.MAXIFS(Tasks[_Row],Tasks[_Pred4UID],Tasks[[#This Row],[UID]])))</f>
        <v>0</v>
      </c>
      <c r="ET1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0" s="89" t="str">
        <f aca="false">IF(NOT(Tasks[[#This Row],[_IsLeaf]]=1),"",IF(N(Tasks[[#This Row],[_Days]])&lt;=0,Tasks[[#This Row],[_LeafLateFinish]],WORKDAY.INTL(Tasks[[#This Row],[_LeafLateFinish]],-(Tasks[[#This Row],[_Days]]-1),WorkWeek,Holidays)))</f>
        <v/>
      </c>
      <c r="EW1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0" s="88" t="b">
        <f aca="false">AND(Tasks[[#This Row],[_IsLeaf]]=1,Tasks[[#This Row],[_LeafProgress]]&lt;1,N(Tasks[[#This Row],[_LeafTotalSlack]])&lt;=CriticalSlackDays)</f>
        <v>0</v>
      </c>
      <c r="EY140" s="42" t="n">
        <f aca="false">IF(AND(Tasks[[#This Row],[_IsLeaf]]=1,Tasks[[#This Row],[_ConstraintCode]]=1,Tasks[[#This Row],[Mode]]&lt;&gt;"Manual",N(Tasks[[#This Row],[Actual Start]])=0),MAX(0,N(Tasks[[#This Row],[Free Slack]])),0)</f>
        <v>0</v>
      </c>
      <c r="EZ140" s="89" t="str">
        <f aca="false">IF(NOT(Tasks[[#This Row],[_IsLeaf]]=1),"",IF(Tasks[[#This Row],[_AlapShift]]=0,Tasks[[#This Row],[_LeafCalcStart]],WORKDAY.INTL(Tasks[[#This Row],[_LeafCalcStart]],Tasks[[#This Row],[_AlapShift]],WorkWeek,Holidays)))</f>
        <v/>
      </c>
      <c r="FA140" s="89" t="str">
        <f aca="false">IF(NOT(Tasks[[#This Row],[_IsLeaf]]=1),"",IF(Tasks[[#This Row],[_AlapShift]]=0,Tasks[[#This Row],[_LeafCalcFinish]],WORKDAY.INTL(Tasks[[#This Row],[_LeafCalcFinish]],Tasks[[#This Row],[_AlapShift]],WorkWeek,Holidays)))</f>
        <v/>
      </c>
      <c r="FB140" s="89" t="str">
        <f aca="false">IF(NOT(Tasks[[#This Row],[_IsLeaf]]=1),"",IF(Tasks[[#This Row],[_AlapShift]]=0,Tasks[[#This Row],[_LeafFcstStart]],WORKDAY.INTL(Tasks[[#This Row],[_LeafFcstStart]],Tasks[[#This Row],[_AlapShift]],WorkWeek,Holidays)))</f>
        <v/>
      </c>
      <c r="FC140" s="89" t="str">
        <f aca="false">IF(NOT(Tasks[[#This Row],[_IsLeaf]]=1),"",IF(Tasks[[#This Row],[_AlapShift]]=0,Tasks[[#This Row],[_LeafFcstFinish]],WORKDAY.INTL(Tasks[[#This Row],[_LeafFcstFinish]],Tasks[[#This Row],[_AlapShift]],WorkWeek,Holidays)))</f>
        <v/>
      </c>
      <c r="FD140" s="89" t="str">
        <f aca="false">IF(Tasks[[#This Row],[Task Name]]="","",IF(Tasks[[#This Row],[_IsSummary]],MIN(INDEX(Tasks[_ShownCalcStart],Tasks[[#This Row],[_Row]]+1):INDEX(Tasks[_ShownCalcStart],Tasks[[#This Row],[_Row]]+Tasks[[#This Row],[_Descendants]])),Tasks[[#This Row],[_ShownCalcStart]]))</f>
        <v/>
      </c>
      <c r="FE140" s="89" t="str">
        <f aca="false">IF(Tasks[[#This Row],[Task Name]]="","",IF(Tasks[[#This Row],[_IsSummary]],MAX(INDEX(Tasks[_ShownCalcFinish],Tasks[[#This Row],[_Row]]+1):INDEX(Tasks[_ShownCalcFinish],Tasks[[#This Row],[_Row]]+Tasks[[#This Row],[_Descendants]])),Tasks[[#This Row],[_ShownCalcFinish]]))</f>
        <v/>
      </c>
      <c r="FF1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0" s="42" t="n">
        <f aca="false">IF(AND(Tasks[[#This Row],[_IsLeaf]]=1,Tasks[[#This Row],[_LeafTotalWork]]&gt;0),NETWORKDAYS.INTL(ProjectStart,Tasks[[#This Row],[_ShownFcstStart]],WorkWeek,Holidays),0)</f>
        <v>0</v>
      </c>
      <c r="FS140" s="42" t="n">
        <f aca="false">IF(AND(Tasks[[#This Row],[_IsLeaf]]=1,Tasks[[#This Row],[_LeafTotalWork]]&gt;0),MAX(Tasks[[#This Row],[_StartWorkday]],NETWORKDAYS.INTL(ProjectStart,Tasks[[#This Row],[_ShownFcstFinish]],WorkWeek,Holidays)),0)</f>
        <v>0</v>
      </c>
      <c r="FT140" s="42" t="n">
        <f aca="false">IF(AND(Tasks[[#This Row],[_IsLeaf]]=1,Tasks[[#This Row],[_LeafTotalWork]]&gt;0),Tasks[[#This Row],[_LeafWork]]/(Tasks[[#This Row],[_FinishWorkday]]-Tasks[[#This Row],[_StartWorkday]]+1),0)</f>
        <v>0</v>
      </c>
      <c r="FU140" s="42" t="n">
        <f aca="false">Tasks[[#This Row],[_WorkPerWorkday]]*(Tasks[[#This Row],[_StartWorkday]]-1)</f>
        <v>-0</v>
      </c>
      <c r="FV140" s="42" t="n">
        <f aca="false">IF(Tasks[[#This Row],[_IsLeaf]]=1,MAX(N(Tasks[[#This Row],[_Days]]),0.1),0)</f>
        <v>0</v>
      </c>
      <c r="FW140" s="42" t="n">
        <f aca="false">Tasks[[#This Row],[_WeightDur]]*Tasks[[#This Row],[_LeafProgress]]</f>
        <v>0</v>
      </c>
      <c r="FX140" s="42" t="n">
        <f aca="false">Tasks[[#This Row],[_WeightDur]]*Tasks[[#This Row],[_PlannedPct]]</f>
        <v>0</v>
      </c>
      <c r="FY1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0" s="42" t="str">
        <f aca="false">IF(AND(Tasks[[#This Row],[_IsLeaf]]=1,N(Tasks[[#This Row],[_Days]])=0,Tasks[[#This Row],[_LeafProgress]]&lt;1),Tasks[[#This Row],[_ShownFcstFinish]]+Tasks[[#This Row],[_Row]]/100000,"")</f>
        <v/>
      </c>
      <c r="GA1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0" s="42" t="str">
        <f aca="false">IF(Tasks[[#This Row],[Task Name]]="","",LEFT(Tasks[[#This Row],[WBS]],FIND(".",Tasks[[#This Row],[WBS]]&amp;".")-1))</f>
        <v/>
      </c>
      <c r="GC140" s="42" t="str">
        <f aca="false">IF(AND(Tasks[[#This Row],[Task Name]]&lt;&gt;"",Tasks[[#This Row],[_Level]]=1),Tasks[[#This Row],[_Row]],"")</f>
        <v/>
      </c>
      <c r="GD140" s="42" t="str">
        <f aca="false">IF(AND(Tasks[[#This Row],[_IsLeaf]]=1,N(Tasks[[#This Row],[_Days]])=0),Tasks[[#This Row],[Planned Finish]]+Tasks[[#This Row],[_Row]]/100000,"")</f>
        <v/>
      </c>
      <c r="GE140" s="42" t="str">
        <f aca="false">IF(AND(Tasks[[#This Row],[_IsLeaf]]=1,Tasks[[#This Row],[_LeafProgress]]&lt;1,OR(N(Tasks[[#This Row],[Finish Var]])&gt;0,Tasks[[#This Row],[Status]]="Late Start")),MAX(0,Tasks[[#This Row],[Finish Var]])+1-Tasks[[#This Row],[_Row]]/1000000,"")</f>
        <v/>
      </c>
      <c r="GF140" s="42" t="str">
        <f aca="false">IF(AND(Tasks[[#This Row],[_IsLeaf]]=1,N(Tasks[[#This Row],[Actual Start]])=0,Tasks[[#This Row],[_ShownFcstStart]]&gt;=StatusDate,Tasks[[#This Row],[_ShownFcstStart]]&lt;=LookaheadEnd),Tasks[[#This Row],[_ShownFcstStart]]+Tasks[[#This Row],[_Row]]/100000,"")</f>
        <v/>
      </c>
      <c r="GG140" s="42" t="str">
        <f aca="false">IF(AND(Tasks[[#This Row],[_IsLeaf]]=1,Tasks[[#This Row],[_LeafProgress]]&lt;1,Tasks[[#This Row],[_ShownFcstFinish]]&gt;=StatusDate,Tasks[[#This Row],[_ShownFcstFinish]]&lt;=LookaheadEnd),Tasks[[#This Row],[_ShownFcstFinish]]+Tasks[[#This Row],[_Row]]/100000,"")</f>
        <v/>
      </c>
      <c r="GH140" s="42" t="str">
        <f aca="false">IF(Tasks[[#This Row],[_LeafCritical]],Tasks[[#This Row],[_ShownFcstStart]]+Tasks[[#This Row],[_Row]]/100000,"")</f>
        <v/>
      </c>
      <c r="GI140" s="42" t="n">
        <f aca="false">Tasks[[#This Row],[_LeafWork]]*Tasks[[#This Row],[_LeafProgress]]</f>
        <v>0</v>
      </c>
      <c r="GJ140" s="89" t="str">
        <f aca="false">IF(AND(Tasks[[#This Row],[_IsLeaf]]=1,Tasks[[#This Row],[_LeafProgress]]&gt;=1),IF(N(Tasks[[#This Row],[Actual Finish]])&gt;0,Tasks[[#This Row],[Actual Finish]],Tasks[[#This Row],[_ShownFcstFinish]]),"")</f>
        <v/>
      </c>
      <c r="GK140" s="42" t="n">
        <f aca="false">IF(Tasks[[#This Row],[_IsLeaf]]=1,N(Tasks[[#This Row],[Story Points]]),0)</f>
        <v>0</v>
      </c>
      <c r="GL140" s="42" t="str">
        <f aca="false">""</f>
        <v/>
      </c>
      <c r="GM140" s="88" t="b">
        <f aca="false">IF(Tasks[[#This Row],[Task Name]]="",FALSE(),AND(Tasks[[#This Row],[_IsLeaf]]=1,N(Tasks[[#This Row],[_Days]])=0))</f>
        <v>0</v>
      </c>
      <c r="GN140" s="89" t="n">
        <f aca="false">IF(Tasks[[#This Row],[Task Name]]="",0,IF(AND(Tasks[[#This Row],[_IsLeaf]]=1,NOT(Tasks[[#This Row],[_IsMilestone]]),N(Tasks[[#This Row],[Progress]])&gt;0),Tasks[[#This Row],[Start]],0))</f>
        <v>0</v>
      </c>
      <c r="GO140" s="89" t="n">
        <f aca="false">IF(Tasks[[#This Row],[_DoneFrom]]=0,0,IF(Tasks[[#This Row],[Progress]]&gt;=1,Tasks[[#This Row],[Finish]],MAX(Tasks[[#This Row],[_DoneFrom]],Tasks[[#This Row],[Start]]+ROUND((Tasks[[#This Row],[Finish]]-Tasks[[#This Row],[Start]]+1)*Tasks[[#This Row],[Progress]],0)-1)))</f>
        <v>0</v>
      </c>
      <c r="GP140" s="89" t="n">
        <f aca="false">IF(Tasks[[#This Row],[Task Name]]="",0,IF(OR(NOT(Tasks[[#This Row],[_IsLeaf]]=1),Tasks[[#This Row],[_IsMilestone]],N(Tasks[[#This Row],[Progress]])&gt;=1),0,IF(Tasks[[#This Row],[_DoneTo]]&gt;0,Tasks[[#This Row],[_DoneTo]]+1,Tasks[[#This Row],[Start]])))</f>
        <v>0</v>
      </c>
      <c r="GQ140" s="89" t="n">
        <f aca="false">IF(Tasks[[#This Row],[_RemFrom]]=0,0,Tasks[[#This Row],[Finish]])</f>
        <v>0</v>
      </c>
      <c r="GR140" s="88" t="b">
        <f aca="false">IF(Tasks[[#This Row],[Task Name]]="",FALSE(),OR(NOT(BaselineSet),N(Tasks[[#This Row],[Baseline Start]])&gt;0))</f>
        <v>0</v>
      </c>
      <c r="GS1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0" s="90" t="str">
        <f aca="false">IF(Tasks[[#This Row],[_IsLeaf]]=1,Tasks[[#This Row],[_Row]],"")</f>
        <v/>
      </c>
      <c r="GW140" s="90" t="str">
        <f aca="false">IFERROR(INDEX(Tasks[UID],SMALL(Tasks[_PickKey],Tasks[[#This Row],[_Row]]))&amp;" "&amp;INDEX(Tasks[Task Name],SMALL(Tasks[_PickKey],Tasks[[#This Row],[_Row]])),"")</f>
        <v/>
      </c>
      <c r="GX140" s="42" t="str">
        <f aca="false">IF(Tasks[[#This Row],[Task Name]]="","",IF(Tasks[[#This Row],[_IsSummary]],NETWORKDAYS.INTL(Tasks[[#This Row],[Start]],Tasks[[#This Row],[Finish]],WorkWeek,Holidays),N(Tasks[[#This Row],[_Days]])))</f>
        <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3"/>
      <c r="U141" s="23"/>
      <c r="V141" s="83"/>
      <c r="W141" s="23"/>
      <c r="X141" s="83"/>
      <c r="Y141" s="23"/>
      <c r="Z141" s="83"/>
      <c r="AA141" s="23"/>
      <c r="AB141" s="23"/>
      <c r="AC141" s="7"/>
      <c r="AD141" s="7"/>
      <c r="AE141" s="62" t="str">
        <f aca="false">IF(Tasks[[#This Row],[Task Name]]="","",IF(Tasks[[#This Row],[_IsSummary]],MIN(INDEX(Tasks[_ShownFcstStart],Tasks[[#This Row],[_Row]]+1):INDEX(Tasks[_ShownFcstStart],Tasks[[#This Row],[_Row]]+Tasks[[#This Row],[_Descendants]])),Tasks[[#This Row],[_ShownFcstStart]]))</f>
        <v/>
      </c>
      <c r="AF141" s="62"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1" s="7"/>
      <c r="AK141" s="22"/>
      <c r="AL141" s="23"/>
      <c r="AM141" s="7"/>
      <c r="AN141" s="46"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2" t="str">
        <f aca="false">IF(Tasks[[#This Row],[Task Name]]="","",IF(N(Tasks[[#This Row],[Baseline Start]])&gt;0,Tasks[[#This Row],[Baseline Start]],Tasks[[#This Row],[_CalcStart]]))</f>
        <v/>
      </c>
      <c r="AR141" s="62" t="str">
        <f aca="false">IF(Tasks[[#This Row],[Task Name]]="","",IF(N(Tasks[[#This Row],[Baseline Finish]])&gt;0,Tasks[[#This Row],[Baseline Finish]],Tasks[[#This Row],[_CalcFinish]]))</f>
        <v/>
      </c>
      <c r="AS141" s="46" t="str">
        <f aca="false">IF(Tasks[[#This Row],[Task Name]]="","",IF(Tasks[[#This Row],[Start]]&gt;=Tasks[[#This Row],[Planned Start]],NETWORKDAYS.INTL(Tasks[[#This Row],[Planned Start]],Tasks[[#This Row],[Start]],WorkWeek,Holidays)-1,1-NETWORKDAYS.INTL(Tasks[[#This Row],[Start]],Tasks[[#This Row],[Planned Start]],WorkWeek,Holidays)))</f>
        <v/>
      </c>
      <c r="AT141" s="62" t="str">
        <f aca="false">IF(Tasks[[#This Row],[Task Name]]="","",IF(Tasks[[#This Row],[_IsSummary]],MIN(INDEX(Tasks[_LeafLateStart],Tasks[[#This Row],[_Row]]+1):INDEX(Tasks[_LeafLateStart],Tasks[[#This Row],[_Row]]+Tasks[[#This Row],[_Descendants]])),Tasks[[#This Row],[_LeafLateStart]]))</f>
        <v/>
      </c>
      <c r="AU141" s="62" t="str">
        <f aca="false">IF(Tasks[[#This Row],[Task Name]]="","",IF(Tasks[[#This Row],[_IsSummary]],MAX(INDEX(Tasks[_LeafLateFinish],Tasks[[#This Row],[_Row]]+1):INDEX(Tasks[_LeafLateFinish],Tasks[[#This Row],[_Row]]+Tasks[[#This Row],[_Descendants]])),Tasks[[#This Row],[_LeafLateFinish]]))</f>
        <v/>
      </c>
      <c r="AV141" s="46"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4"/>
      <c r="BA1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5"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6"/>
      <c r="BJ141" s="22"/>
      <c r="BK141" s="46" t="str">
        <f aca="false">IF(OR(Tasks[[#This Row],[Task Name]]="",Tasks[[#This Row],[Baseline Duration]]=""),"",Tasks[[#This Row],[_SpanDays]]-N(Tasks[[#This Row],[Baseline Duration]]))</f>
        <v/>
      </c>
      <c r="BL141" s="85" t="str">
        <f aca="false">IF(OR(Tasks[[#This Row],[Task Name]]="",Tasks[[#This Row],[Baseline Work]]=""),"",Tasks[[#This Row],[Work]]-N(Tasks[[#This Row],[Baseline Work]]))</f>
        <v/>
      </c>
      <c r="BM141" s="62" t="str">
        <f aca="false">IF(Tasks[[#This Row],[Task Name]]="","",IF(OR(TakeBaseline="Yes",N(Tasks[[#This Row],[Baseline Start]])=0),Tasks[[#This Row],[Start]],Tasks[[#This Row],[Baseline Start]]))</f>
        <v/>
      </c>
      <c r="BN141" s="62"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5" t="str">
        <f aca="false">IF(Tasks[[#This Row],[Task Name]]="","",IF(OR(TakeBaseline="Yes",N(Tasks[[#This Row],[Baseline Work]])=0),Tasks[[#This Row],[Work]],Tasks[[#This Row],[Baseline Work]]))</f>
        <v/>
      </c>
      <c r="BQ141" s="7"/>
      <c r="BR141" s="7"/>
      <c r="BS141" s="22"/>
      <c r="BT141" s="87"/>
      <c r="BU141" s="42" t="str">
        <f aca="false">IF(Tasks[[#This Row],[Task Name]]="","",MAX(1,N(Tasks[[#This Row],[Level]])))</f>
        <v/>
      </c>
      <c r="BV141" s="42" t="n">
        <f aca="false">ROW()-ROW(Tasks[[#Headers],[ID]])</f>
        <v>136</v>
      </c>
      <c r="BW141" s="42" t="n">
        <f aca="false">IF(OR(Tasks[[#This Row],[Task Name]]="",Tasks[[#This Row],[_Level]]&lt;=1),0,IFERROR(LOOKUP(2,1/(Tasks[[#Headers],[_Level]]:Tasks[[#This Row],[_Level]]=Tasks[[#This Row],[_Level]]-1),ROW(Tasks[[#Headers],[_Level]]:Tasks[[#This Row],[_Level]])),0))</f>
        <v>0</v>
      </c>
      <c r="BX141" s="42" t="n">
        <f aca="false">IFERROR(N(INDEX(Tasks[_Level],Tasks[[#This Row],[_Row]]+1)),0)</f>
        <v>0</v>
      </c>
      <c r="BY141" s="88" t="b">
        <f aca="false">AND(Tasks[[#This Row],[Task Name]]&lt;&gt;"",Tasks[[#This Row],[_NextLevel]]&gt;Tasks[[#This Row],[_Level]])</f>
        <v>0</v>
      </c>
      <c r="BZ141" s="42" t="n">
        <f aca="false">IF(Tasks[[#This Row],[_IsSummary]],COUNTIF(Tasks[WBS],Tasks[[#This Row],[WBS]]&amp;".*"),0)</f>
        <v>0</v>
      </c>
      <c r="CA141" s="42" t="n">
        <f aca="false">IF(AND(Tasks[[#This Row],[Task Name]]&lt;&gt;"",NOT(Tasks[[#This Row],[_IsSummary]])),1,0)</f>
        <v>0</v>
      </c>
      <c r="CB141" s="42" t="n">
        <f aca="false">IF(N(Tasks[[#This Row],[_Pred1UID]])=0,0,IFERROR(MATCH(Tasks[[#This Row],[_Pred1UID]],Tasks[UID],0),-1))</f>
        <v>0</v>
      </c>
      <c r="CC141" s="42" t="n">
        <f aca="false">IF(N(Tasks[[#This Row],[_Pred2UID]])=0,0,IFERROR(MATCH(Tasks[[#This Row],[_Pred2UID]],Tasks[UID],0),-1))</f>
        <v>0</v>
      </c>
      <c r="CD141" s="42" t="n">
        <f aca="false">IF(N(Tasks[[#This Row],[_Pred3UID]])=0,0,IFERROR(MATCH(Tasks[[#This Row],[_Pred3UID]],Tasks[UID],0),-1))</f>
        <v>0</v>
      </c>
      <c r="CE141" s="42" t="n">
        <f aca="false">IF(N(Tasks[[#This Row],[_Pred4UID]])=0,0,IFERROR(MATCH(Tasks[[#This Row],[_Pred4UID]],Tasks[UID],0),-1))</f>
        <v>0</v>
      </c>
      <c r="CF1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1" s="89" t="n">
        <f aca="false">IF(OR(Tasks[[#This Row],[_ConstraintCode]]=2,Tasks[[#This Row],[_ConstraintCode]]=3,Tasks[[#This Row],[_ConstraintCode]]=4,Tasks[[#This Row],[_ConstraintCode]]=6),Tasks[[#This Row],[_ConstraintStart]],0)</f>
        <v>0</v>
      </c>
      <c r="CI141" s="89" t="n">
        <f aca="false">IF(OR(Tasks[[#This Row],[_ConstraintCode]]=2,Tasks[[#This Row],[_ConstraintCode]]=3,Tasks[[#This Row],[_ConstraintCode]]=5,Tasks[[#This Row],[_ConstraintCode]]=7),Tasks[[#This Row],[_ConstraintStart]],2958465)</f>
        <v>2958465</v>
      </c>
      <c r="CJ1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1" s="89" t="str">
        <f aca="false">IF(NOT(Tasks[[#This Row],[_IsLeaf]]=1),"",IF(N(Tasks[[#This Row],[_Days]])&lt;=0,Tasks[[#This Row],[_LeafCalcStart]],WORKDAY.INTL(Tasks[[#This Row],[_LeafCalcStart]],Tasks[[#This Row],[_Days]]-1,WorkWeek,Holidays)))</f>
        <v/>
      </c>
      <c r="CL1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1" s="42" t="str">
        <f aca="false">IF(Tasks[[#This Row],[_Predecessors]]="","",TRIM(MID(SUBSTITUTE(SUBSTITUTE(SUBSTITUTE(UPPER(Tasks[[#This Row],[_Predecessors]]),";",",")," ",""),",",REPT(" ",99)),1,99)))</f>
        <v/>
      </c>
      <c r="CO141" s="42" t="str">
        <f aca="false">IF(Tasks[[#This Row],[_Pred1Text]]="","",IFERROR(VALUE(LEFT(Tasks[[#This Row],[_Pred1Text]],MIN(FIND("F",Tasks[[#This Row],[_Pred1Text]]&amp;"F"),FIND("S",Tasks[[#This Row],[_Pred1Text]]&amp;"S"),FIND("+",Tasks[[#This Row],[_Pred1Text]]&amp;"+"),FIND("-",Tasks[[#This Row],[_Pred1Text]]&amp;"-"))-1)),""))</f>
        <v/>
      </c>
      <c r="CP1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1" s="42" t="str">
        <f aca="false">IF(Tasks[[#This Row],[_Pred1Text]]="","",TRIM(MID(SUBSTITUTE(SUBSTITUTE(SUBSTITUTE(UPPER(Tasks[[#This Row],[_Predecessors]]),";",",")," ",""),",",REPT(" ",99)),100,99)))</f>
        <v/>
      </c>
      <c r="CS141" s="42" t="str">
        <f aca="false">IF(Tasks[[#This Row],[_Pred2Text]]="","",IFERROR(VALUE(LEFT(Tasks[[#This Row],[_Pred2Text]],MIN(FIND("F",Tasks[[#This Row],[_Pred2Text]]&amp;"F"),FIND("S",Tasks[[#This Row],[_Pred2Text]]&amp;"S"),FIND("+",Tasks[[#This Row],[_Pred2Text]]&amp;"+"),FIND("-",Tasks[[#This Row],[_Pred2Text]]&amp;"-"))-1)),""))</f>
        <v/>
      </c>
      <c r="CT1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1" s="42" t="str">
        <f aca="false">IF(Tasks[[#This Row],[_Pred2Text]]="","",TRIM(MID(SUBSTITUTE(SUBSTITUTE(SUBSTITUTE(UPPER(Tasks[[#This Row],[_Predecessors]]),";",",")," ",""),",",REPT(" ",99)),199,99)))</f>
        <v/>
      </c>
      <c r="CW141" s="42" t="str">
        <f aca="false">IF(Tasks[[#This Row],[_Pred3Text]]="","",IFERROR(VALUE(LEFT(Tasks[[#This Row],[_Pred3Text]],MIN(FIND("F",Tasks[[#This Row],[_Pred3Text]]&amp;"F"),FIND("S",Tasks[[#This Row],[_Pred3Text]]&amp;"S"),FIND("+",Tasks[[#This Row],[_Pred3Text]]&amp;"+"),FIND("-",Tasks[[#This Row],[_Pred3Text]]&amp;"-"))-1)),""))</f>
        <v/>
      </c>
      <c r="CX1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1" s="42" t="str">
        <f aca="false">IF(Tasks[[#This Row],[_Pred3Text]]="","",TRIM(MID(SUBSTITUTE(SUBSTITUTE(SUBSTITUTE(UPPER(Tasks[[#This Row],[_Predecessors]]),";",",")," ",""),",",REPT(" ",99)),298,99)))</f>
        <v/>
      </c>
      <c r="DA141" s="42" t="str">
        <f aca="false">IF(Tasks[[#This Row],[_Pred4Text]]="","",IFERROR(VALUE(LEFT(Tasks[[#This Row],[_Pred4Text]],MIN(FIND("F",Tasks[[#This Row],[_Pred4Text]]&amp;"F"),FIND("S",Tasks[[#This Row],[_Pred4Text]]&amp;"S"),FIND("+",Tasks[[#This Row],[_Pred4Text]]&amp;"+"),FIND("-",Tasks[[#This Row],[_Pred4Text]]&amp;"-"))-1)),""))</f>
        <v/>
      </c>
      <c r="DB1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1" s="42" t="str">
        <f aca="false">IF(OR(Tasks[[#This Row],[Task Name]]="",Tasks[[#This Row],[_Resources]]=""),"",TRIM(MID(SUBSTITUTE(Tasks[[#This Row],[_Resources]],",",REPT(" ",99)),1,99)))</f>
        <v/>
      </c>
      <c r="DE141" s="42" t="str">
        <f aca="false">IF(Tasks[[#This Row],[_Res1Text]]="","",TRIM(MID(SUBSTITUTE(Tasks[[#This Row],[_Resources]],",",REPT(" ",99)),100,99)))</f>
        <v/>
      </c>
      <c r="DF141" s="42" t="str">
        <f aca="false">IF(Tasks[[#This Row],[_Res2Text]]="","",TRIM(MID(SUBSTITUTE(Tasks[[#This Row],[_Resources]],",",REPT(" ",99)),199,99)))</f>
        <v/>
      </c>
      <c r="DG141" s="42" t="str">
        <f aca="false">IF(Tasks[[#This Row],[_Res3Text]]="","",TRIM(MID(SUBSTITUTE(Tasks[[#This Row],[_Resources]],",",REPT(" ",99)),298,99)))</f>
        <v/>
      </c>
      <c r="DH141" s="42" t="n">
        <f aca="false">IF(Tasks[[#This Row],[_Res1Text]]="",0,IFERROR(MATCH(TRIM(LEFT(Tasks[[#This Row],[_Res1Text]],FIND("[",Tasks[[#This Row],[_Res1Text]]&amp;"[")-1)),res_Name,0),IFERROR(MATCH(TRIM(LEFT(Tasks[[#This Row],[_Res1Text]],FIND("[",Tasks[[#This Row],[_Res1Text]]&amp;"[")-1)),res_Initials,0),0)))</f>
        <v>0</v>
      </c>
      <c r="DI141" s="42" t="n">
        <f aca="false">IF(Tasks[[#This Row],[_Res2Text]]="",0,IFERROR(MATCH(TRIM(LEFT(Tasks[[#This Row],[_Res2Text]],FIND("[",Tasks[[#This Row],[_Res2Text]]&amp;"[")-1)),res_Name,0),IFERROR(MATCH(TRIM(LEFT(Tasks[[#This Row],[_Res2Text]],FIND("[",Tasks[[#This Row],[_Res2Text]]&amp;"[")-1)),res_Initials,0),0)))</f>
        <v>0</v>
      </c>
      <c r="DJ141" s="42" t="n">
        <f aca="false">IF(Tasks[[#This Row],[_Res3Text]]="",0,IFERROR(MATCH(TRIM(LEFT(Tasks[[#This Row],[_Res3Text]],FIND("[",Tasks[[#This Row],[_Res3Text]]&amp;"[")-1)),res_Name,0),IFERROR(MATCH(TRIM(LEFT(Tasks[[#This Row],[_Res3Text]],FIND("[",Tasks[[#This Row],[_Res3Text]]&amp;"[")-1)),res_Initials,0),0)))</f>
        <v>0</v>
      </c>
      <c r="DK141" s="42" t="n">
        <f aca="false">IF(Tasks[[#This Row],[_Res4Text]]="",0,IFERROR(MATCH(TRIM(LEFT(Tasks[[#This Row],[_Res4Text]],FIND("[",Tasks[[#This Row],[_Res4Text]]&amp;"[")-1)),res_Name,0),IFERROR(MATCH(TRIM(LEFT(Tasks[[#This Row],[_Res4Text]],FIND("[",Tasks[[#This Row],[_Res4Text]]&amp;"[")-1)),res_Initials,0),0)))</f>
        <v>0</v>
      </c>
      <c r="DL141" s="42" t="str">
        <f aca="false">IF(Tasks[[#This Row],[_Res1Text]]="","",IF(Tasks[[#This Row],[_Res1Row]]&gt;0,INDEX(res_Name,Tasks[[#This Row],[_Res1Row]]),TRIM(LEFT(Tasks[[#This Row],[_Res1Text]],FIND("[",Tasks[[#This Row],[_Res1Text]]&amp;"[")-1))))</f>
        <v/>
      </c>
      <c r="DM1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1" s="42" t="n">
        <f aca="false">IF(NOT(Tasks[[#This Row],[_IsLeaf]]=1),0,(Tasks[[#This Row],[_Resource1]]&lt;&gt;"")+(Tasks[[#This Row],[_Res2]]&lt;&gt;"")+(Tasks[[#This Row],[_Res3]]&lt;&gt;"")+(Tasks[[#This Row],[_Res4]]&lt;&gt;""))</f>
        <v>0</v>
      </c>
      <c r="DO141" s="42" t="str">
        <f aca="false">IF(Tasks[[#This Row],[_Res2Text]]="","",IF(Tasks[[#This Row],[_Res2Row]]&gt;0,INDEX(res_Name,Tasks[[#This Row],[_Res2Row]]),TRIM(LEFT(Tasks[[#This Row],[_Res2Text]],FIND("[",Tasks[[#This Row],[_Res2Text]]&amp;"[")-1))))</f>
        <v/>
      </c>
      <c r="DP1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1" s="42" t="n">
        <f aca="false">IF(OR(NOT(Tasks[[#This Row],[_IsLeaf]]=1),Tasks[[#This Row],[_Res2Row]]=0),0,N(Tasks[[#This Row],[_Days]])*HoursPerDay*IF(Tasks[[#This Row],[_Res2Units]]="",DefaultUnits,Tasks[[#This Row],[_Res2Units]]))</f>
        <v>0</v>
      </c>
      <c r="DR141" s="42" t="n">
        <f aca="false">IF(AND(AND(Tasks[[#This Row],[_IsLeaf]]=1,Tasks[[#This Row],[_LeafTotalWork]]&gt;0),Tasks[[#This Row],[_Res2Work]]&gt;0),Tasks[[#This Row],[_Res2Work]]/(Tasks[[#This Row],[_FinishWorkday]]-Tasks[[#This Row],[_StartWorkday]]+1),0)</f>
        <v>0</v>
      </c>
      <c r="DS141" s="42" t="n">
        <f aca="false">Tasks[[#This Row],[_Res2WorkPerWD]]*MAX(0,Tasks[[#This Row],[_StartWorkday]]-1)</f>
        <v>0</v>
      </c>
      <c r="DT141" s="42" t="n">
        <f aca="false">Tasks[[#This Row],[_Res2Work]]*Tasks[[#This Row],[_LeafProgress]]</f>
        <v>0</v>
      </c>
      <c r="DU141" s="42" t="str">
        <f aca="false">IF(Tasks[[#This Row],[_Res3Text]]="","",IF(Tasks[[#This Row],[_Res3Row]]&gt;0,INDEX(res_Name,Tasks[[#This Row],[_Res3Row]]),TRIM(LEFT(Tasks[[#This Row],[_Res3Text]],FIND("[",Tasks[[#This Row],[_Res3Text]]&amp;"[")-1))))</f>
        <v/>
      </c>
      <c r="DV1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1" s="42" t="n">
        <f aca="false">IF(OR(NOT(Tasks[[#This Row],[_IsLeaf]]=1),Tasks[[#This Row],[_Res3Row]]=0),0,N(Tasks[[#This Row],[_Days]])*HoursPerDay*IF(Tasks[[#This Row],[_Res3Units]]="",DefaultUnits,Tasks[[#This Row],[_Res3Units]]))</f>
        <v>0</v>
      </c>
      <c r="DX141" s="42" t="n">
        <f aca="false">IF(AND(AND(Tasks[[#This Row],[_IsLeaf]]=1,Tasks[[#This Row],[_LeafTotalWork]]&gt;0),Tasks[[#This Row],[_Res3Work]]&gt;0),Tasks[[#This Row],[_Res3Work]]/(Tasks[[#This Row],[_FinishWorkday]]-Tasks[[#This Row],[_StartWorkday]]+1),0)</f>
        <v>0</v>
      </c>
      <c r="DY141" s="42" t="n">
        <f aca="false">Tasks[[#This Row],[_Res3WorkPerWD]]*MAX(0,Tasks[[#This Row],[_StartWorkday]]-1)</f>
        <v>0</v>
      </c>
      <c r="DZ141" s="42" t="n">
        <f aca="false">Tasks[[#This Row],[_Res3Work]]*Tasks[[#This Row],[_LeafProgress]]</f>
        <v>0</v>
      </c>
      <c r="EA141" s="42" t="str">
        <f aca="false">IF(Tasks[[#This Row],[_Res4Text]]="","",IF(Tasks[[#This Row],[_Res4Row]]&gt;0,INDEX(res_Name,Tasks[[#This Row],[_Res4Row]]),TRIM(LEFT(Tasks[[#This Row],[_Res4Text]],FIND("[",Tasks[[#This Row],[_Res4Text]]&amp;"[")-1))))</f>
        <v/>
      </c>
      <c r="EB1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1" s="42" t="n">
        <f aca="false">IF(OR(NOT(Tasks[[#This Row],[_IsLeaf]]=1),Tasks[[#This Row],[_Res4Row]]=0),0,N(Tasks[[#This Row],[_Days]])*HoursPerDay*IF(Tasks[[#This Row],[_Res4Units]]="",DefaultUnits,Tasks[[#This Row],[_Res4Units]]))</f>
        <v>0</v>
      </c>
      <c r="ED141" s="42" t="n">
        <f aca="false">IF(AND(AND(Tasks[[#This Row],[_IsLeaf]]=1,Tasks[[#This Row],[_LeafTotalWork]]&gt;0),Tasks[[#This Row],[_Res4Work]]&gt;0),Tasks[[#This Row],[_Res4Work]]/(Tasks[[#This Row],[_FinishWorkday]]-Tasks[[#This Row],[_StartWorkday]]+1),0)</f>
        <v>0</v>
      </c>
      <c r="EE141" s="42" t="n">
        <f aca="false">Tasks[[#This Row],[_Res4WorkPerWD]]*MAX(0,Tasks[[#This Row],[_StartWorkday]]-1)</f>
        <v>0</v>
      </c>
      <c r="EF141" s="42" t="n">
        <f aca="false">Tasks[[#This Row],[_Res4Work]]*Tasks[[#This Row],[_LeafProgress]]</f>
        <v>0</v>
      </c>
      <c r="EG141" s="42" t="n">
        <f aca="false">IF(ISNUMBER(Tasks[[#This Row],[% Complete]]),Tasks[[#This Row],[% Complete]],IF(Tasks[[#This Row],[Stage]]="",0,IFERROR(INDEX(stg_Pct,MATCH(Tasks[[#This Row],[Stage]],stg_Name,0)),0)))</f>
        <v>0</v>
      </c>
      <c r="EH141" s="42" t="n">
        <f aca="false">IF(NOT(Tasks[[#This Row],[_IsLeaf]]=1),0,IF(N(Tasks[[#This Row],[Actual Finish]])&gt;0,1,MIN(1,Tasks[[#This Row],[_Pct]])))</f>
        <v>0</v>
      </c>
      <c r="EI141" s="42" t="n">
        <f aca="false">IF(OR(NOT(Tasks[[#This Row],[_IsLeaf]]=1),Tasks[[#This Row],[_Res1Row]]=0),0,N(Tasks[[#This Row],[_Days]])*HoursPerDay*IF(Tasks[[#This Row],[_Units1]]="",DefaultUnits,Tasks[[#This Row],[_Units1]]))</f>
        <v>0</v>
      </c>
      <c r="EJ141" s="42" t="n">
        <f aca="false">Tasks[[#This Row],[_LeafWork]]+Tasks[[#This Row],[_Res2Work]]+Tasks[[#This Row],[_Res3Work]]+Tasks[[#This Row],[_Res4Work]]</f>
        <v>0</v>
      </c>
      <c r="EK1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1" s="42" t="n">
        <f aca="false">IF(NOT(Tasks[[#This Row],[_IsLeaf]]=1),0,MAX(_xlfn.MAXIFS(Tasks[_Row],Tasks[_Pred1UID],Tasks[[#This Row],[UID]]),_xlfn.MAXIFS(Tasks[_Row],Tasks[_Pred2UID],Tasks[[#This Row],[UID]]),_xlfn.MAXIFS(Tasks[_Row],Tasks[_Pred3UID],Tasks[[#This Row],[UID]]),_xlfn.MAXIFS(Tasks[_Row],Tasks[_Pred4UID],Tasks[[#This Row],[UID]])))</f>
        <v>0</v>
      </c>
      <c r="ET1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1" s="89" t="str">
        <f aca="false">IF(NOT(Tasks[[#This Row],[_IsLeaf]]=1),"",IF(N(Tasks[[#This Row],[_Days]])&lt;=0,Tasks[[#This Row],[_LeafLateFinish]],WORKDAY.INTL(Tasks[[#This Row],[_LeafLateFinish]],-(Tasks[[#This Row],[_Days]]-1),WorkWeek,Holidays)))</f>
        <v/>
      </c>
      <c r="EW1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1" s="88" t="b">
        <f aca="false">AND(Tasks[[#This Row],[_IsLeaf]]=1,Tasks[[#This Row],[_LeafProgress]]&lt;1,N(Tasks[[#This Row],[_LeafTotalSlack]])&lt;=CriticalSlackDays)</f>
        <v>0</v>
      </c>
      <c r="EY141" s="42" t="n">
        <f aca="false">IF(AND(Tasks[[#This Row],[_IsLeaf]]=1,Tasks[[#This Row],[_ConstraintCode]]=1,Tasks[[#This Row],[Mode]]&lt;&gt;"Manual",N(Tasks[[#This Row],[Actual Start]])=0),MAX(0,N(Tasks[[#This Row],[Free Slack]])),0)</f>
        <v>0</v>
      </c>
      <c r="EZ141" s="89" t="str">
        <f aca="false">IF(NOT(Tasks[[#This Row],[_IsLeaf]]=1),"",IF(Tasks[[#This Row],[_AlapShift]]=0,Tasks[[#This Row],[_LeafCalcStart]],WORKDAY.INTL(Tasks[[#This Row],[_LeafCalcStart]],Tasks[[#This Row],[_AlapShift]],WorkWeek,Holidays)))</f>
        <v/>
      </c>
      <c r="FA141" s="89" t="str">
        <f aca="false">IF(NOT(Tasks[[#This Row],[_IsLeaf]]=1),"",IF(Tasks[[#This Row],[_AlapShift]]=0,Tasks[[#This Row],[_LeafCalcFinish]],WORKDAY.INTL(Tasks[[#This Row],[_LeafCalcFinish]],Tasks[[#This Row],[_AlapShift]],WorkWeek,Holidays)))</f>
        <v/>
      </c>
      <c r="FB141" s="89" t="str">
        <f aca="false">IF(NOT(Tasks[[#This Row],[_IsLeaf]]=1),"",IF(Tasks[[#This Row],[_AlapShift]]=0,Tasks[[#This Row],[_LeafFcstStart]],WORKDAY.INTL(Tasks[[#This Row],[_LeafFcstStart]],Tasks[[#This Row],[_AlapShift]],WorkWeek,Holidays)))</f>
        <v/>
      </c>
      <c r="FC141" s="89" t="str">
        <f aca="false">IF(NOT(Tasks[[#This Row],[_IsLeaf]]=1),"",IF(Tasks[[#This Row],[_AlapShift]]=0,Tasks[[#This Row],[_LeafFcstFinish]],WORKDAY.INTL(Tasks[[#This Row],[_LeafFcstFinish]],Tasks[[#This Row],[_AlapShift]],WorkWeek,Holidays)))</f>
        <v/>
      </c>
      <c r="FD141" s="89" t="str">
        <f aca="false">IF(Tasks[[#This Row],[Task Name]]="","",IF(Tasks[[#This Row],[_IsSummary]],MIN(INDEX(Tasks[_ShownCalcStart],Tasks[[#This Row],[_Row]]+1):INDEX(Tasks[_ShownCalcStart],Tasks[[#This Row],[_Row]]+Tasks[[#This Row],[_Descendants]])),Tasks[[#This Row],[_ShownCalcStart]]))</f>
        <v/>
      </c>
      <c r="FE141" s="89" t="str">
        <f aca="false">IF(Tasks[[#This Row],[Task Name]]="","",IF(Tasks[[#This Row],[_IsSummary]],MAX(INDEX(Tasks[_ShownCalcFinish],Tasks[[#This Row],[_Row]]+1):INDEX(Tasks[_ShownCalcFinish],Tasks[[#This Row],[_Row]]+Tasks[[#This Row],[_Descendants]])),Tasks[[#This Row],[_ShownCalcFinish]]))</f>
        <v/>
      </c>
      <c r="FF1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1" s="42" t="n">
        <f aca="false">IF(AND(Tasks[[#This Row],[_IsLeaf]]=1,Tasks[[#This Row],[_LeafTotalWork]]&gt;0),NETWORKDAYS.INTL(ProjectStart,Tasks[[#This Row],[_ShownFcstStart]],WorkWeek,Holidays),0)</f>
        <v>0</v>
      </c>
      <c r="FS141" s="42" t="n">
        <f aca="false">IF(AND(Tasks[[#This Row],[_IsLeaf]]=1,Tasks[[#This Row],[_LeafTotalWork]]&gt;0),MAX(Tasks[[#This Row],[_StartWorkday]],NETWORKDAYS.INTL(ProjectStart,Tasks[[#This Row],[_ShownFcstFinish]],WorkWeek,Holidays)),0)</f>
        <v>0</v>
      </c>
      <c r="FT141" s="42" t="n">
        <f aca="false">IF(AND(Tasks[[#This Row],[_IsLeaf]]=1,Tasks[[#This Row],[_LeafTotalWork]]&gt;0),Tasks[[#This Row],[_LeafWork]]/(Tasks[[#This Row],[_FinishWorkday]]-Tasks[[#This Row],[_StartWorkday]]+1),0)</f>
        <v>0</v>
      </c>
      <c r="FU141" s="42" t="n">
        <f aca="false">Tasks[[#This Row],[_WorkPerWorkday]]*(Tasks[[#This Row],[_StartWorkday]]-1)</f>
        <v>-0</v>
      </c>
      <c r="FV141" s="42" t="n">
        <f aca="false">IF(Tasks[[#This Row],[_IsLeaf]]=1,MAX(N(Tasks[[#This Row],[_Days]]),0.1),0)</f>
        <v>0</v>
      </c>
      <c r="FW141" s="42" t="n">
        <f aca="false">Tasks[[#This Row],[_WeightDur]]*Tasks[[#This Row],[_LeafProgress]]</f>
        <v>0</v>
      </c>
      <c r="FX141" s="42" t="n">
        <f aca="false">Tasks[[#This Row],[_WeightDur]]*Tasks[[#This Row],[_PlannedPct]]</f>
        <v>0</v>
      </c>
      <c r="FY1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1" s="42" t="str">
        <f aca="false">IF(AND(Tasks[[#This Row],[_IsLeaf]]=1,N(Tasks[[#This Row],[_Days]])=0,Tasks[[#This Row],[_LeafProgress]]&lt;1),Tasks[[#This Row],[_ShownFcstFinish]]+Tasks[[#This Row],[_Row]]/100000,"")</f>
        <v/>
      </c>
      <c r="GA1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1" s="42" t="str">
        <f aca="false">IF(Tasks[[#This Row],[Task Name]]="","",LEFT(Tasks[[#This Row],[WBS]],FIND(".",Tasks[[#This Row],[WBS]]&amp;".")-1))</f>
        <v/>
      </c>
      <c r="GC141" s="42" t="str">
        <f aca="false">IF(AND(Tasks[[#This Row],[Task Name]]&lt;&gt;"",Tasks[[#This Row],[_Level]]=1),Tasks[[#This Row],[_Row]],"")</f>
        <v/>
      </c>
      <c r="GD141" s="42" t="str">
        <f aca="false">IF(AND(Tasks[[#This Row],[_IsLeaf]]=1,N(Tasks[[#This Row],[_Days]])=0),Tasks[[#This Row],[Planned Finish]]+Tasks[[#This Row],[_Row]]/100000,"")</f>
        <v/>
      </c>
      <c r="GE141" s="42" t="str">
        <f aca="false">IF(AND(Tasks[[#This Row],[_IsLeaf]]=1,Tasks[[#This Row],[_LeafProgress]]&lt;1,OR(N(Tasks[[#This Row],[Finish Var]])&gt;0,Tasks[[#This Row],[Status]]="Late Start")),MAX(0,Tasks[[#This Row],[Finish Var]])+1-Tasks[[#This Row],[_Row]]/1000000,"")</f>
        <v/>
      </c>
      <c r="GF141" s="42" t="str">
        <f aca="false">IF(AND(Tasks[[#This Row],[_IsLeaf]]=1,N(Tasks[[#This Row],[Actual Start]])=0,Tasks[[#This Row],[_ShownFcstStart]]&gt;=StatusDate,Tasks[[#This Row],[_ShownFcstStart]]&lt;=LookaheadEnd),Tasks[[#This Row],[_ShownFcstStart]]+Tasks[[#This Row],[_Row]]/100000,"")</f>
        <v/>
      </c>
      <c r="GG141" s="42" t="str">
        <f aca="false">IF(AND(Tasks[[#This Row],[_IsLeaf]]=1,Tasks[[#This Row],[_LeafProgress]]&lt;1,Tasks[[#This Row],[_ShownFcstFinish]]&gt;=StatusDate,Tasks[[#This Row],[_ShownFcstFinish]]&lt;=LookaheadEnd),Tasks[[#This Row],[_ShownFcstFinish]]+Tasks[[#This Row],[_Row]]/100000,"")</f>
        <v/>
      </c>
      <c r="GH141" s="42" t="str">
        <f aca="false">IF(Tasks[[#This Row],[_LeafCritical]],Tasks[[#This Row],[_ShownFcstStart]]+Tasks[[#This Row],[_Row]]/100000,"")</f>
        <v/>
      </c>
      <c r="GI141" s="42" t="n">
        <f aca="false">Tasks[[#This Row],[_LeafWork]]*Tasks[[#This Row],[_LeafProgress]]</f>
        <v>0</v>
      </c>
      <c r="GJ141" s="89" t="str">
        <f aca="false">IF(AND(Tasks[[#This Row],[_IsLeaf]]=1,Tasks[[#This Row],[_LeafProgress]]&gt;=1),IF(N(Tasks[[#This Row],[Actual Finish]])&gt;0,Tasks[[#This Row],[Actual Finish]],Tasks[[#This Row],[_ShownFcstFinish]]),"")</f>
        <v/>
      </c>
      <c r="GK141" s="42" t="n">
        <f aca="false">IF(Tasks[[#This Row],[_IsLeaf]]=1,N(Tasks[[#This Row],[Story Points]]),0)</f>
        <v>0</v>
      </c>
      <c r="GL141" s="42" t="str">
        <f aca="false">""</f>
        <v/>
      </c>
      <c r="GM141" s="88" t="b">
        <f aca="false">IF(Tasks[[#This Row],[Task Name]]="",FALSE(),AND(Tasks[[#This Row],[_IsLeaf]]=1,N(Tasks[[#This Row],[_Days]])=0))</f>
        <v>0</v>
      </c>
      <c r="GN141" s="89" t="n">
        <f aca="false">IF(Tasks[[#This Row],[Task Name]]="",0,IF(AND(Tasks[[#This Row],[_IsLeaf]]=1,NOT(Tasks[[#This Row],[_IsMilestone]]),N(Tasks[[#This Row],[Progress]])&gt;0),Tasks[[#This Row],[Start]],0))</f>
        <v>0</v>
      </c>
      <c r="GO141" s="89" t="n">
        <f aca="false">IF(Tasks[[#This Row],[_DoneFrom]]=0,0,IF(Tasks[[#This Row],[Progress]]&gt;=1,Tasks[[#This Row],[Finish]],MAX(Tasks[[#This Row],[_DoneFrom]],Tasks[[#This Row],[Start]]+ROUND((Tasks[[#This Row],[Finish]]-Tasks[[#This Row],[Start]]+1)*Tasks[[#This Row],[Progress]],0)-1)))</f>
        <v>0</v>
      </c>
      <c r="GP141" s="89" t="n">
        <f aca="false">IF(Tasks[[#This Row],[Task Name]]="",0,IF(OR(NOT(Tasks[[#This Row],[_IsLeaf]]=1),Tasks[[#This Row],[_IsMilestone]],N(Tasks[[#This Row],[Progress]])&gt;=1),0,IF(Tasks[[#This Row],[_DoneTo]]&gt;0,Tasks[[#This Row],[_DoneTo]]+1,Tasks[[#This Row],[Start]])))</f>
        <v>0</v>
      </c>
      <c r="GQ141" s="89" t="n">
        <f aca="false">IF(Tasks[[#This Row],[_RemFrom]]=0,0,Tasks[[#This Row],[Finish]])</f>
        <v>0</v>
      </c>
      <c r="GR141" s="88" t="b">
        <f aca="false">IF(Tasks[[#This Row],[Task Name]]="",FALSE(),OR(NOT(BaselineSet),N(Tasks[[#This Row],[Baseline Start]])&gt;0))</f>
        <v>0</v>
      </c>
      <c r="GS1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1" s="90" t="str">
        <f aca="false">IF(Tasks[[#This Row],[_IsLeaf]]=1,Tasks[[#This Row],[_Row]],"")</f>
        <v/>
      </c>
      <c r="GW141" s="90" t="str">
        <f aca="false">IFERROR(INDEX(Tasks[UID],SMALL(Tasks[_PickKey],Tasks[[#This Row],[_Row]]))&amp;" "&amp;INDEX(Tasks[Task Name],SMALL(Tasks[_PickKey],Tasks[[#This Row],[_Row]])),"")</f>
        <v/>
      </c>
      <c r="GX141" s="42" t="str">
        <f aca="false">IF(Tasks[[#This Row],[Task Name]]="","",IF(Tasks[[#This Row],[_IsSummary]],NETWORKDAYS.INTL(Tasks[[#This Row],[Start]],Tasks[[#This Row],[Finish]],WorkWeek,Holidays),N(Tasks[[#This Row],[_Days]])))</f>
        <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3"/>
      <c r="U142" s="23"/>
      <c r="V142" s="83"/>
      <c r="W142" s="23"/>
      <c r="X142" s="83"/>
      <c r="Y142" s="23"/>
      <c r="Z142" s="83"/>
      <c r="AA142" s="23"/>
      <c r="AB142" s="23"/>
      <c r="AC142" s="7"/>
      <c r="AD142" s="7"/>
      <c r="AE142" s="62" t="str">
        <f aca="false">IF(Tasks[[#This Row],[Task Name]]="","",IF(Tasks[[#This Row],[_IsSummary]],MIN(INDEX(Tasks[_ShownFcstStart],Tasks[[#This Row],[_Row]]+1):INDEX(Tasks[_ShownFcstStart],Tasks[[#This Row],[_Row]]+Tasks[[#This Row],[_Descendants]])),Tasks[[#This Row],[_ShownFcstStart]]))</f>
        <v/>
      </c>
      <c r="AF142" s="62"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2" s="7"/>
      <c r="AK142" s="22"/>
      <c r="AL142" s="23"/>
      <c r="AM142" s="7"/>
      <c r="AN142" s="46"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2" t="str">
        <f aca="false">IF(Tasks[[#This Row],[Task Name]]="","",IF(N(Tasks[[#This Row],[Baseline Start]])&gt;0,Tasks[[#This Row],[Baseline Start]],Tasks[[#This Row],[_CalcStart]]))</f>
        <v/>
      </c>
      <c r="AR142" s="62" t="str">
        <f aca="false">IF(Tasks[[#This Row],[Task Name]]="","",IF(N(Tasks[[#This Row],[Baseline Finish]])&gt;0,Tasks[[#This Row],[Baseline Finish]],Tasks[[#This Row],[_CalcFinish]]))</f>
        <v/>
      </c>
      <c r="AS142" s="46" t="str">
        <f aca="false">IF(Tasks[[#This Row],[Task Name]]="","",IF(Tasks[[#This Row],[Start]]&gt;=Tasks[[#This Row],[Planned Start]],NETWORKDAYS.INTL(Tasks[[#This Row],[Planned Start]],Tasks[[#This Row],[Start]],WorkWeek,Holidays)-1,1-NETWORKDAYS.INTL(Tasks[[#This Row],[Start]],Tasks[[#This Row],[Planned Start]],WorkWeek,Holidays)))</f>
        <v/>
      </c>
      <c r="AT142" s="62" t="str">
        <f aca="false">IF(Tasks[[#This Row],[Task Name]]="","",IF(Tasks[[#This Row],[_IsSummary]],MIN(INDEX(Tasks[_LeafLateStart],Tasks[[#This Row],[_Row]]+1):INDEX(Tasks[_LeafLateStart],Tasks[[#This Row],[_Row]]+Tasks[[#This Row],[_Descendants]])),Tasks[[#This Row],[_LeafLateStart]]))</f>
        <v/>
      </c>
      <c r="AU142" s="62" t="str">
        <f aca="false">IF(Tasks[[#This Row],[Task Name]]="","",IF(Tasks[[#This Row],[_IsSummary]],MAX(INDEX(Tasks[_LeafLateFinish],Tasks[[#This Row],[_Row]]+1):INDEX(Tasks[_LeafLateFinish],Tasks[[#This Row],[_Row]]+Tasks[[#This Row],[_Descendants]])),Tasks[[#This Row],[_LeafLateFinish]]))</f>
        <v/>
      </c>
      <c r="AV142" s="46"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4"/>
      <c r="BA1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5"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6"/>
      <c r="BJ142" s="22"/>
      <c r="BK142" s="46" t="str">
        <f aca="false">IF(OR(Tasks[[#This Row],[Task Name]]="",Tasks[[#This Row],[Baseline Duration]]=""),"",Tasks[[#This Row],[_SpanDays]]-N(Tasks[[#This Row],[Baseline Duration]]))</f>
        <v/>
      </c>
      <c r="BL142" s="85" t="str">
        <f aca="false">IF(OR(Tasks[[#This Row],[Task Name]]="",Tasks[[#This Row],[Baseline Work]]=""),"",Tasks[[#This Row],[Work]]-N(Tasks[[#This Row],[Baseline Work]]))</f>
        <v/>
      </c>
      <c r="BM142" s="62" t="str">
        <f aca="false">IF(Tasks[[#This Row],[Task Name]]="","",IF(OR(TakeBaseline="Yes",N(Tasks[[#This Row],[Baseline Start]])=0),Tasks[[#This Row],[Start]],Tasks[[#This Row],[Baseline Start]]))</f>
        <v/>
      </c>
      <c r="BN142" s="62"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5" t="str">
        <f aca="false">IF(Tasks[[#This Row],[Task Name]]="","",IF(OR(TakeBaseline="Yes",N(Tasks[[#This Row],[Baseline Work]])=0),Tasks[[#This Row],[Work]],Tasks[[#This Row],[Baseline Work]]))</f>
        <v/>
      </c>
      <c r="BQ142" s="7"/>
      <c r="BR142" s="7"/>
      <c r="BS142" s="22"/>
      <c r="BT142" s="87"/>
      <c r="BU142" s="42" t="str">
        <f aca="false">IF(Tasks[[#This Row],[Task Name]]="","",MAX(1,N(Tasks[[#This Row],[Level]])))</f>
        <v/>
      </c>
      <c r="BV142" s="42" t="n">
        <f aca="false">ROW()-ROW(Tasks[[#Headers],[ID]])</f>
        <v>137</v>
      </c>
      <c r="BW142" s="42" t="n">
        <f aca="false">IF(OR(Tasks[[#This Row],[Task Name]]="",Tasks[[#This Row],[_Level]]&lt;=1),0,IFERROR(LOOKUP(2,1/(Tasks[[#Headers],[_Level]]:Tasks[[#This Row],[_Level]]=Tasks[[#This Row],[_Level]]-1),ROW(Tasks[[#Headers],[_Level]]:Tasks[[#This Row],[_Level]])),0))</f>
        <v>0</v>
      </c>
      <c r="BX142" s="42" t="n">
        <f aca="false">IFERROR(N(INDEX(Tasks[_Level],Tasks[[#This Row],[_Row]]+1)),0)</f>
        <v>0</v>
      </c>
      <c r="BY142" s="88" t="b">
        <f aca="false">AND(Tasks[[#This Row],[Task Name]]&lt;&gt;"",Tasks[[#This Row],[_NextLevel]]&gt;Tasks[[#This Row],[_Level]])</f>
        <v>0</v>
      </c>
      <c r="BZ142" s="42" t="n">
        <f aca="false">IF(Tasks[[#This Row],[_IsSummary]],COUNTIF(Tasks[WBS],Tasks[[#This Row],[WBS]]&amp;".*"),0)</f>
        <v>0</v>
      </c>
      <c r="CA142" s="42" t="n">
        <f aca="false">IF(AND(Tasks[[#This Row],[Task Name]]&lt;&gt;"",NOT(Tasks[[#This Row],[_IsSummary]])),1,0)</f>
        <v>0</v>
      </c>
      <c r="CB142" s="42" t="n">
        <f aca="false">IF(N(Tasks[[#This Row],[_Pred1UID]])=0,0,IFERROR(MATCH(Tasks[[#This Row],[_Pred1UID]],Tasks[UID],0),-1))</f>
        <v>0</v>
      </c>
      <c r="CC142" s="42" t="n">
        <f aca="false">IF(N(Tasks[[#This Row],[_Pred2UID]])=0,0,IFERROR(MATCH(Tasks[[#This Row],[_Pred2UID]],Tasks[UID],0),-1))</f>
        <v>0</v>
      </c>
      <c r="CD142" s="42" t="n">
        <f aca="false">IF(N(Tasks[[#This Row],[_Pred3UID]])=0,0,IFERROR(MATCH(Tasks[[#This Row],[_Pred3UID]],Tasks[UID],0),-1))</f>
        <v>0</v>
      </c>
      <c r="CE142" s="42" t="n">
        <f aca="false">IF(N(Tasks[[#This Row],[_Pred4UID]])=0,0,IFERROR(MATCH(Tasks[[#This Row],[_Pred4UID]],Tasks[UID],0),-1))</f>
        <v>0</v>
      </c>
      <c r="CF1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2" s="89" t="n">
        <f aca="false">IF(OR(Tasks[[#This Row],[_ConstraintCode]]=2,Tasks[[#This Row],[_ConstraintCode]]=3,Tasks[[#This Row],[_ConstraintCode]]=4,Tasks[[#This Row],[_ConstraintCode]]=6),Tasks[[#This Row],[_ConstraintStart]],0)</f>
        <v>0</v>
      </c>
      <c r="CI142" s="89" t="n">
        <f aca="false">IF(OR(Tasks[[#This Row],[_ConstraintCode]]=2,Tasks[[#This Row],[_ConstraintCode]]=3,Tasks[[#This Row],[_ConstraintCode]]=5,Tasks[[#This Row],[_ConstraintCode]]=7),Tasks[[#This Row],[_ConstraintStart]],2958465)</f>
        <v>2958465</v>
      </c>
      <c r="CJ1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2" s="89" t="str">
        <f aca="false">IF(NOT(Tasks[[#This Row],[_IsLeaf]]=1),"",IF(N(Tasks[[#This Row],[_Days]])&lt;=0,Tasks[[#This Row],[_LeafCalcStart]],WORKDAY.INTL(Tasks[[#This Row],[_LeafCalcStart]],Tasks[[#This Row],[_Days]]-1,WorkWeek,Holidays)))</f>
        <v/>
      </c>
      <c r="CL1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2" s="42" t="str">
        <f aca="false">IF(Tasks[[#This Row],[_Predecessors]]="","",TRIM(MID(SUBSTITUTE(SUBSTITUTE(SUBSTITUTE(UPPER(Tasks[[#This Row],[_Predecessors]]),";",",")," ",""),",",REPT(" ",99)),1,99)))</f>
        <v/>
      </c>
      <c r="CO142" s="42" t="str">
        <f aca="false">IF(Tasks[[#This Row],[_Pred1Text]]="","",IFERROR(VALUE(LEFT(Tasks[[#This Row],[_Pred1Text]],MIN(FIND("F",Tasks[[#This Row],[_Pred1Text]]&amp;"F"),FIND("S",Tasks[[#This Row],[_Pred1Text]]&amp;"S"),FIND("+",Tasks[[#This Row],[_Pred1Text]]&amp;"+"),FIND("-",Tasks[[#This Row],[_Pred1Text]]&amp;"-"))-1)),""))</f>
        <v/>
      </c>
      <c r="CP1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2" s="42" t="str">
        <f aca="false">IF(Tasks[[#This Row],[_Pred1Text]]="","",TRIM(MID(SUBSTITUTE(SUBSTITUTE(SUBSTITUTE(UPPER(Tasks[[#This Row],[_Predecessors]]),";",",")," ",""),",",REPT(" ",99)),100,99)))</f>
        <v/>
      </c>
      <c r="CS142" s="42" t="str">
        <f aca="false">IF(Tasks[[#This Row],[_Pred2Text]]="","",IFERROR(VALUE(LEFT(Tasks[[#This Row],[_Pred2Text]],MIN(FIND("F",Tasks[[#This Row],[_Pred2Text]]&amp;"F"),FIND("S",Tasks[[#This Row],[_Pred2Text]]&amp;"S"),FIND("+",Tasks[[#This Row],[_Pred2Text]]&amp;"+"),FIND("-",Tasks[[#This Row],[_Pred2Text]]&amp;"-"))-1)),""))</f>
        <v/>
      </c>
      <c r="CT1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2" s="42" t="str">
        <f aca="false">IF(Tasks[[#This Row],[_Pred2Text]]="","",TRIM(MID(SUBSTITUTE(SUBSTITUTE(SUBSTITUTE(UPPER(Tasks[[#This Row],[_Predecessors]]),";",",")," ",""),",",REPT(" ",99)),199,99)))</f>
        <v/>
      </c>
      <c r="CW142" s="42" t="str">
        <f aca="false">IF(Tasks[[#This Row],[_Pred3Text]]="","",IFERROR(VALUE(LEFT(Tasks[[#This Row],[_Pred3Text]],MIN(FIND("F",Tasks[[#This Row],[_Pred3Text]]&amp;"F"),FIND("S",Tasks[[#This Row],[_Pred3Text]]&amp;"S"),FIND("+",Tasks[[#This Row],[_Pred3Text]]&amp;"+"),FIND("-",Tasks[[#This Row],[_Pred3Text]]&amp;"-"))-1)),""))</f>
        <v/>
      </c>
      <c r="CX1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2" s="42" t="str">
        <f aca="false">IF(Tasks[[#This Row],[_Pred3Text]]="","",TRIM(MID(SUBSTITUTE(SUBSTITUTE(SUBSTITUTE(UPPER(Tasks[[#This Row],[_Predecessors]]),";",",")," ",""),",",REPT(" ",99)),298,99)))</f>
        <v/>
      </c>
      <c r="DA142" s="42" t="str">
        <f aca="false">IF(Tasks[[#This Row],[_Pred4Text]]="","",IFERROR(VALUE(LEFT(Tasks[[#This Row],[_Pred4Text]],MIN(FIND("F",Tasks[[#This Row],[_Pred4Text]]&amp;"F"),FIND("S",Tasks[[#This Row],[_Pred4Text]]&amp;"S"),FIND("+",Tasks[[#This Row],[_Pred4Text]]&amp;"+"),FIND("-",Tasks[[#This Row],[_Pred4Text]]&amp;"-"))-1)),""))</f>
        <v/>
      </c>
      <c r="DB1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2" s="42" t="str">
        <f aca="false">IF(OR(Tasks[[#This Row],[Task Name]]="",Tasks[[#This Row],[_Resources]]=""),"",TRIM(MID(SUBSTITUTE(Tasks[[#This Row],[_Resources]],",",REPT(" ",99)),1,99)))</f>
        <v/>
      </c>
      <c r="DE142" s="42" t="str">
        <f aca="false">IF(Tasks[[#This Row],[_Res1Text]]="","",TRIM(MID(SUBSTITUTE(Tasks[[#This Row],[_Resources]],",",REPT(" ",99)),100,99)))</f>
        <v/>
      </c>
      <c r="DF142" s="42" t="str">
        <f aca="false">IF(Tasks[[#This Row],[_Res2Text]]="","",TRIM(MID(SUBSTITUTE(Tasks[[#This Row],[_Resources]],",",REPT(" ",99)),199,99)))</f>
        <v/>
      </c>
      <c r="DG142" s="42" t="str">
        <f aca="false">IF(Tasks[[#This Row],[_Res3Text]]="","",TRIM(MID(SUBSTITUTE(Tasks[[#This Row],[_Resources]],",",REPT(" ",99)),298,99)))</f>
        <v/>
      </c>
      <c r="DH142" s="42" t="n">
        <f aca="false">IF(Tasks[[#This Row],[_Res1Text]]="",0,IFERROR(MATCH(TRIM(LEFT(Tasks[[#This Row],[_Res1Text]],FIND("[",Tasks[[#This Row],[_Res1Text]]&amp;"[")-1)),res_Name,0),IFERROR(MATCH(TRIM(LEFT(Tasks[[#This Row],[_Res1Text]],FIND("[",Tasks[[#This Row],[_Res1Text]]&amp;"[")-1)),res_Initials,0),0)))</f>
        <v>0</v>
      </c>
      <c r="DI142" s="42" t="n">
        <f aca="false">IF(Tasks[[#This Row],[_Res2Text]]="",0,IFERROR(MATCH(TRIM(LEFT(Tasks[[#This Row],[_Res2Text]],FIND("[",Tasks[[#This Row],[_Res2Text]]&amp;"[")-1)),res_Name,0),IFERROR(MATCH(TRIM(LEFT(Tasks[[#This Row],[_Res2Text]],FIND("[",Tasks[[#This Row],[_Res2Text]]&amp;"[")-1)),res_Initials,0),0)))</f>
        <v>0</v>
      </c>
      <c r="DJ142" s="42" t="n">
        <f aca="false">IF(Tasks[[#This Row],[_Res3Text]]="",0,IFERROR(MATCH(TRIM(LEFT(Tasks[[#This Row],[_Res3Text]],FIND("[",Tasks[[#This Row],[_Res3Text]]&amp;"[")-1)),res_Name,0),IFERROR(MATCH(TRIM(LEFT(Tasks[[#This Row],[_Res3Text]],FIND("[",Tasks[[#This Row],[_Res3Text]]&amp;"[")-1)),res_Initials,0),0)))</f>
        <v>0</v>
      </c>
      <c r="DK142" s="42" t="n">
        <f aca="false">IF(Tasks[[#This Row],[_Res4Text]]="",0,IFERROR(MATCH(TRIM(LEFT(Tasks[[#This Row],[_Res4Text]],FIND("[",Tasks[[#This Row],[_Res4Text]]&amp;"[")-1)),res_Name,0),IFERROR(MATCH(TRIM(LEFT(Tasks[[#This Row],[_Res4Text]],FIND("[",Tasks[[#This Row],[_Res4Text]]&amp;"[")-1)),res_Initials,0),0)))</f>
        <v>0</v>
      </c>
      <c r="DL142" s="42" t="str">
        <f aca="false">IF(Tasks[[#This Row],[_Res1Text]]="","",IF(Tasks[[#This Row],[_Res1Row]]&gt;0,INDEX(res_Name,Tasks[[#This Row],[_Res1Row]]),TRIM(LEFT(Tasks[[#This Row],[_Res1Text]],FIND("[",Tasks[[#This Row],[_Res1Text]]&amp;"[")-1))))</f>
        <v/>
      </c>
      <c r="DM1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2" s="42" t="n">
        <f aca="false">IF(NOT(Tasks[[#This Row],[_IsLeaf]]=1),0,(Tasks[[#This Row],[_Resource1]]&lt;&gt;"")+(Tasks[[#This Row],[_Res2]]&lt;&gt;"")+(Tasks[[#This Row],[_Res3]]&lt;&gt;"")+(Tasks[[#This Row],[_Res4]]&lt;&gt;""))</f>
        <v>0</v>
      </c>
      <c r="DO142" s="42" t="str">
        <f aca="false">IF(Tasks[[#This Row],[_Res2Text]]="","",IF(Tasks[[#This Row],[_Res2Row]]&gt;0,INDEX(res_Name,Tasks[[#This Row],[_Res2Row]]),TRIM(LEFT(Tasks[[#This Row],[_Res2Text]],FIND("[",Tasks[[#This Row],[_Res2Text]]&amp;"[")-1))))</f>
        <v/>
      </c>
      <c r="DP1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2" s="42" t="n">
        <f aca="false">IF(OR(NOT(Tasks[[#This Row],[_IsLeaf]]=1),Tasks[[#This Row],[_Res2Row]]=0),0,N(Tasks[[#This Row],[_Days]])*HoursPerDay*IF(Tasks[[#This Row],[_Res2Units]]="",DefaultUnits,Tasks[[#This Row],[_Res2Units]]))</f>
        <v>0</v>
      </c>
      <c r="DR142" s="42" t="n">
        <f aca="false">IF(AND(AND(Tasks[[#This Row],[_IsLeaf]]=1,Tasks[[#This Row],[_LeafTotalWork]]&gt;0),Tasks[[#This Row],[_Res2Work]]&gt;0),Tasks[[#This Row],[_Res2Work]]/(Tasks[[#This Row],[_FinishWorkday]]-Tasks[[#This Row],[_StartWorkday]]+1),0)</f>
        <v>0</v>
      </c>
      <c r="DS142" s="42" t="n">
        <f aca="false">Tasks[[#This Row],[_Res2WorkPerWD]]*MAX(0,Tasks[[#This Row],[_StartWorkday]]-1)</f>
        <v>0</v>
      </c>
      <c r="DT142" s="42" t="n">
        <f aca="false">Tasks[[#This Row],[_Res2Work]]*Tasks[[#This Row],[_LeafProgress]]</f>
        <v>0</v>
      </c>
      <c r="DU142" s="42" t="str">
        <f aca="false">IF(Tasks[[#This Row],[_Res3Text]]="","",IF(Tasks[[#This Row],[_Res3Row]]&gt;0,INDEX(res_Name,Tasks[[#This Row],[_Res3Row]]),TRIM(LEFT(Tasks[[#This Row],[_Res3Text]],FIND("[",Tasks[[#This Row],[_Res3Text]]&amp;"[")-1))))</f>
        <v/>
      </c>
      <c r="DV1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2" s="42" t="n">
        <f aca="false">IF(OR(NOT(Tasks[[#This Row],[_IsLeaf]]=1),Tasks[[#This Row],[_Res3Row]]=0),0,N(Tasks[[#This Row],[_Days]])*HoursPerDay*IF(Tasks[[#This Row],[_Res3Units]]="",DefaultUnits,Tasks[[#This Row],[_Res3Units]]))</f>
        <v>0</v>
      </c>
      <c r="DX142" s="42" t="n">
        <f aca="false">IF(AND(AND(Tasks[[#This Row],[_IsLeaf]]=1,Tasks[[#This Row],[_LeafTotalWork]]&gt;0),Tasks[[#This Row],[_Res3Work]]&gt;0),Tasks[[#This Row],[_Res3Work]]/(Tasks[[#This Row],[_FinishWorkday]]-Tasks[[#This Row],[_StartWorkday]]+1),0)</f>
        <v>0</v>
      </c>
      <c r="DY142" s="42" t="n">
        <f aca="false">Tasks[[#This Row],[_Res3WorkPerWD]]*MAX(0,Tasks[[#This Row],[_StartWorkday]]-1)</f>
        <v>0</v>
      </c>
      <c r="DZ142" s="42" t="n">
        <f aca="false">Tasks[[#This Row],[_Res3Work]]*Tasks[[#This Row],[_LeafProgress]]</f>
        <v>0</v>
      </c>
      <c r="EA142" s="42" t="str">
        <f aca="false">IF(Tasks[[#This Row],[_Res4Text]]="","",IF(Tasks[[#This Row],[_Res4Row]]&gt;0,INDEX(res_Name,Tasks[[#This Row],[_Res4Row]]),TRIM(LEFT(Tasks[[#This Row],[_Res4Text]],FIND("[",Tasks[[#This Row],[_Res4Text]]&amp;"[")-1))))</f>
        <v/>
      </c>
      <c r="EB1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2" s="42" t="n">
        <f aca="false">IF(OR(NOT(Tasks[[#This Row],[_IsLeaf]]=1),Tasks[[#This Row],[_Res4Row]]=0),0,N(Tasks[[#This Row],[_Days]])*HoursPerDay*IF(Tasks[[#This Row],[_Res4Units]]="",DefaultUnits,Tasks[[#This Row],[_Res4Units]]))</f>
        <v>0</v>
      </c>
      <c r="ED142" s="42" t="n">
        <f aca="false">IF(AND(AND(Tasks[[#This Row],[_IsLeaf]]=1,Tasks[[#This Row],[_LeafTotalWork]]&gt;0),Tasks[[#This Row],[_Res4Work]]&gt;0),Tasks[[#This Row],[_Res4Work]]/(Tasks[[#This Row],[_FinishWorkday]]-Tasks[[#This Row],[_StartWorkday]]+1),0)</f>
        <v>0</v>
      </c>
      <c r="EE142" s="42" t="n">
        <f aca="false">Tasks[[#This Row],[_Res4WorkPerWD]]*MAX(0,Tasks[[#This Row],[_StartWorkday]]-1)</f>
        <v>0</v>
      </c>
      <c r="EF142" s="42" t="n">
        <f aca="false">Tasks[[#This Row],[_Res4Work]]*Tasks[[#This Row],[_LeafProgress]]</f>
        <v>0</v>
      </c>
      <c r="EG142" s="42" t="n">
        <f aca="false">IF(ISNUMBER(Tasks[[#This Row],[% Complete]]),Tasks[[#This Row],[% Complete]],IF(Tasks[[#This Row],[Stage]]="",0,IFERROR(INDEX(stg_Pct,MATCH(Tasks[[#This Row],[Stage]],stg_Name,0)),0)))</f>
        <v>0</v>
      </c>
      <c r="EH142" s="42" t="n">
        <f aca="false">IF(NOT(Tasks[[#This Row],[_IsLeaf]]=1),0,IF(N(Tasks[[#This Row],[Actual Finish]])&gt;0,1,MIN(1,Tasks[[#This Row],[_Pct]])))</f>
        <v>0</v>
      </c>
      <c r="EI142" s="42" t="n">
        <f aca="false">IF(OR(NOT(Tasks[[#This Row],[_IsLeaf]]=1),Tasks[[#This Row],[_Res1Row]]=0),0,N(Tasks[[#This Row],[_Days]])*HoursPerDay*IF(Tasks[[#This Row],[_Units1]]="",DefaultUnits,Tasks[[#This Row],[_Units1]]))</f>
        <v>0</v>
      </c>
      <c r="EJ142" s="42" t="n">
        <f aca="false">Tasks[[#This Row],[_LeafWork]]+Tasks[[#This Row],[_Res2Work]]+Tasks[[#This Row],[_Res3Work]]+Tasks[[#This Row],[_Res4Work]]</f>
        <v>0</v>
      </c>
      <c r="EK1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2" s="42" t="n">
        <f aca="false">IF(NOT(Tasks[[#This Row],[_IsLeaf]]=1),0,MAX(_xlfn.MAXIFS(Tasks[_Row],Tasks[_Pred1UID],Tasks[[#This Row],[UID]]),_xlfn.MAXIFS(Tasks[_Row],Tasks[_Pred2UID],Tasks[[#This Row],[UID]]),_xlfn.MAXIFS(Tasks[_Row],Tasks[_Pred3UID],Tasks[[#This Row],[UID]]),_xlfn.MAXIFS(Tasks[_Row],Tasks[_Pred4UID],Tasks[[#This Row],[UID]])))</f>
        <v>0</v>
      </c>
      <c r="ET1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2" s="89" t="str">
        <f aca="false">IF(NOT(Tasks[[#This Row],[_IsLeaf]]=1),"",IF(N(Tasks[[#This Row],[_Days]])&lt;=0,Tasks[[#This Row],[_LeafLateFinish]],WORKDAY.INTL(Tasks[[#This Row],[_LeafLateFinish]],-(Tasks[[#This Row],[_Days]]-1),WorkWeek,Holidays)))</f>
        <v/>
      </c>
      <c r="EW1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2" s="88" t="b">
        <f aca="false">AND(Tasks[[#This Row],[_IsLeaf]]=1,Tasks[[#This Row],[_LeafProgress]]&lt;1,N(Tasks[[#This Row],[_LeafTotalSlack]])&lt;=CriticalSlackDays)</f>
        <v>0</v>
      </c>
      <c r="EY142" s="42" t="n">
        <f aca="false">IF(AND(Tasks[[#This Row],[_IsLeaf]]=1,Tasks[[#This Row],[_ConstraintCode]]=1,Tasks[[#This Row],[Mode]]&lt;&gt;"Manual",N(Tasks[[#This Row],[Actual Start]])=0),MAX(0,N(Tasks[[#This Row],[Free Slack]])),0)</f>
        <v>0</v>
      </c>
      <c r="EZ142" s="89" t="str">
        <f aca="false">IF(NOT(Tasks[[#This Row],[_IsLeaf]]=1),"",IF(Tasks[[#This Row],[_AlapShift]]=0,Tasks[[#This Row],[_LeafCalcStart]],WORKDAY.INTL(Tasks[[#This Row],[_LeafCalcStart]],Tasks[[#This Row],[_AlapShift]],WorkWeek,Holidays)))</f>
        <v/>
      </c>
      <c r="FA142" s="89" t="str">
        <f aca="false">IF(NOT(Tasks[[#This Row],[_IsLeaf]]=1),"",IF(Tasks[[#This Row],[_AlapShift]]=0,Tasks[[#This Row],[_LeafCalcFinish]],WORKDAY.INTL(Tasks[[#This Row],[_LeafCalcFinish]],Tasks[[#This Row],[_AlapShift]],WorkWeek,Holidays)))</f>
        <v/>
      </c>
      <c r="FB142" s="89" t="str">
        <f aca="false">IF(NOT(Tasks[[#This Row],[_IsLeaf]]=1),"",IF(Tasks[[#This Row],[_AlapShift]]=0,Tasks[[#This Row],[_LeafFcstStart]],WORKDAY.INTL(Tasks[[#This Row],[_LeafFcstStart]],Tasks[[#This Row],[_AlapShift]],WorkWeek,Holidays)))</f>
        <v/>
      </c>
      <c r="FC142" s="89" t="str">
        <f aca="false">IF(NOT(Tasks[[#This Row],[_IsLeaf]]=1),"",IF(Tasks[[#This Row],[_AlapShift]]=0,Tasks[[#This Row],[_LeafFcstFinish]],WORKDAY.INTL(Tasks[[#This Row],[_LeafFcstFinish]],Tasks[[#This Row],[_AlapShift]],WorkWeek,Holidays)))</f>
        <v/>
      </c>
      <c r="FD142" s="89" t="str">
        <f aca="false">IF(Tasks[[#This Row],[Task Name]]="","",IF(Tasks[[#This Row],[_IsSummary]],MIN(INDEX(Tasks[_ShownCalcStart],Tasks[[#This Row],[_Row]]+1):INDEX(Tasks[_ShownCalcStart],Tasks[[#This Row],[_Row]]+Tasks[[#This Row],[_Descendants]])),Tasks[[#This Row],[_ShownCalcStart]]))</f>
        <v/>
      </c>
      <c r="FE142" s="89" t="str">
        <f aca="false">IF(Tasks[[#This Row],[Task Name]]="","",IF(Tasks[[#This Row],[_IsSummary]],MAX(INDEX(Tasks[_ShownCalcFinish],Tasks[[#This Row],[_Row]]+1):INDEX(Tasks[_ShownCalcFinish],Tasks[[#This Row],[_Row]]+Tasks[[#This Row],[_Descendants]])),Tasks[[#This Row],[_ShownCalcFinish]]))</f>
        <v/>
      </c>
      <c r="FF1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2" s="42" t="n">
        <f aca="false">IF(AND(Tasks[[#This Row],[_IsLeaf]]=1,Tasks[[#This Row],[_LeafTotalWork]]&gt;0),NETWORKDAYS.INTL(ProjectStart,Tasks[[#This Row],[_ShownFcstStart]],WorkWeek,Holidays),0)</f>
        <v>0</v>
      </c>
      <c r="FS142" s="42" t="n">
        <f aca="false">IF(AND(Tasks[[#This Row],[_IsLeaf]]=1,Tasks[[#This Row],[_LeafTotalWork]]&gt;0),MAX(Tasks[[#This Row],[_StartWorkday]],NETWORKDAYS.INTL(ProjectStart,Tasks[[#This Row],[_ShownFcstFinish]],WorkWeek,Holidays)),0)</f>
        <v>0</v>
      </c>
      <c r="FT142" s="42" t="n">
        <f aca="false">IF(AND(Tasks[[#This Row],[_IsLeaf]]=1,Tasks[[#This Row],[_LeafTotalWork]]&gt;0),Tasks[[#This Row],[_LeafWork]]/(Tasks[[#This Row],[_FinishWorkday]]-Tasks[[#This Row],[_StartWorkday]]+1),0)</f>
        <v>0</v>
      </c>
      <c r="FU142" s="42" t="n">
        <f aca="false">Tasks[[#This Row],[_WorkPerWorkday]]*(Tasks[[#This Row],[_StartWorkday]]-1)</f>
        <v>-0</v>
      </c>
      <c r="FV142" s="42" t="n">
        <f aca="false">IF(Tasks[[#This Row],[_IsLeaf]]=1,MAX(N(Tasks[[#This Row],[_Days]]),0.1),0)</f>
        <v>0</v>
      </c>
      <c r="FW142" s="42" t="n">
        <f aca="false">Tasks[[#This Row],[_WeightDur]]*Tasks[[#This Row],[_LeafProgress]]</f>
        <v>0</v>
      </c>
      <c r="FX142" s="42" t="n">
        <f aca="false">Tasks[[#This Row],[_WeightDur]]*Tasks[[#This Row],[_PlannedPct]]</f>
        <v>0</v>
      </c>
      <c r="FY1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2" s="42" t="str">
        <f aca="false">IF(AND(Tasks[[#This Row],[_IsLeaf]]=1,N(Tasks[[#This Row],[_Days]])=0,Tasks[[#This Row],[_LeafProgress]]&lt;1),Tasks[[#This Row],[_ShownFcstFinish]]+Tasks[[#This Row],[_Row]]/100000,"")</f>
        <v/>
      </c>
      <c r="GA1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2" s="42" t="str">
        <f aca="false">IF(Tasks[[#This Row],[Task Name]]="","",LEFT(Tasks[[#This Row],[WBS]],FIND(".",Tasks[[#This Row],[WBS]]&amp;".")-1))</f>
        <v/>
      </c>
      <c r="GC142" s="42" t="str">
        <f aca="false">IF(AND(Tasks[[#This Row],[Task Name]]&lt;&gt;"",Tasks[[#This Row],[_Level]]=1),Tasks[[#This Row],[_Row]],"")</f>
        <v/>
      </c>
      <c r="GD142" s="42" t="str">
        <f aca="false">IF(AND(Tasks[[#This Row],[_IsLeaf]]=1,N(Tasks[[#This Row],[_Days]])=0),Tasks[[#This Row],[Planned Finish]]+Tasks[[#This Row],[_Row]]/100000,"")</f>
        <v/>
      </c>
      <c r="GE142" s="42" t="str">
        <f aca="false">IF(AND(Tasks[[#This Row],[_IsLeaf]]=1,Tasks[[#This Row],[_LeafProgress]]&lt;1,OR(N(Tasks[[#This Row],[Finish Var]])&gt;0,Tasks[[#This Row],[Status]]="Late Start")),MAX(0,Tasks[[#This Row],[Finish Var]])+1-Tasks[[#This Row],[_Row]]/1000000,"")</f>
        <v/>
      </c>
      <c r="GF142" s="42" t="str">
        <f aca="false">IF(AND(Tasks[[#This Row],[_IsLeaf]]=1,N(Tasks[[#This Row],[Actual Start]])=0,Tasks[[#This Row],[_ShownFcstStart]]&gt;=StatusDate,Tasks[[#This Row],[_ShownFcstStart]]&lt;=LookaheadEnd),Tasks[[#This Row],[_ShownFcstStart]]+Tasks[[#This Row],[_Row]]/100000,"")</f>
        <v/>
      </c>
      <c r="GG142" s="42" t="str">
        <f aca="false">IF(AND(Tasks[[#This Row],[_IsLeaf]]=1,Tasks[[#This Row],[_LeafProgress]]&lt;1,Tasks[[#This Row],[_ShownFcstFinish]]&gt;=StatusDate,Tasks[[#This Row],[_ShownFcstFinish]]&lt;=LookaheadEnd),Tasks[[#This Row],[_ShownFcstFinish]]+Tasks[[#This Row],[_Row]]/100000,"")</f>
        <v/>
      </c>
      <c r="GH142" s="42" t="str">
        <f aca="false">IF(Tasks[[#This Row],[_LeafCritical]],Tasks[[#This Row],[_ShownFcstStart]]+Tasks[[#This Row],[_Row]]/100000,"")</f>
        <v/>
      </c>
      <c r="GI142" s="42" t="n">
        <f aca="false">Tasks[[#This Row],[_LeafWork]]*Tasks[[#This Row],[_LeafProgress]]</f>
        <v>0</v>
      </c>
      <c r="GJ142" s="89" t="str">
        <f aca="false">IF(AND(Tasks[[#This Row],[_IsLeaf]]=1,Tasks[[#This Row],[_LeafProgress]]&gt;=1),IF(N(Tasks[[#This Row],[Actual Finish]])&gt;0,Tasks[[#This Row],[Actual Finish]],Tasks[[#This Row],[_ShownFcstFinish]]),"")</f>
        <v/>
      </c>
      <c r="GK142" s="42" t="n">
        <f aca="false">IF(Tasks[[#This Row],[_IsLeaf]]=1,N(Tasks[[#This Row],[Story Points]]),0)</f>
        <v>0</v>
      </c>
      <c r="GL142" s="42" t="str">
        <f aca="false">""</f>
        <v/>
      </c>
      <c r="GM142" s="88" t="b">
        <f aca="false">IF(Tasks[[#This Row],[Task Name]]="",FALSE(),AND(Tasks[[#This Row],[_IsLeaf]]=1,N(Tasks[[#This Row],[_Days]])=0))</f>
        <v>0</v>
      </c>
      <c r="GN142" s="89" t="n">
        <f aca="false">IF(Tasks[[#This Row],[Task Name]]="",0,IF(AND(Tasks[[#This Row],[_IsLeaf]]=1,NOT(Tasks[[#This Row],[_IsMilestone]]),N(Tasks[[#This Row],[Progress]])&gt;0),Tasks[[#This Row],[Start]],0))</f>
        <v>0</v>
      </c>
      <c r="GO142" s="89" t="n">
        <f aca="false">IF(Tasks[[#This Row],[_DoneFrom]]=0,0,IF(Tasks[[#This Row],[Progress]]&gt;=1,Tasks[[#This Row],[Finish]],MAX(Tasks[[#This Row],[_DoneFrom]],Tasks[[#This Row],[Start]]+ROUND((Tasks[[#This Row],[Finish]]-Tasks[[#This Row],[Start]]+1)*Tasks[[#This Row],[Progress]],0)-1)))</f>
        <v>0</v>
      </c>
      <c r="GP142" s="89" t="n">
        <f aca="false">IF(Tasks[[#This Row],[Task Name]]="",0,IF(OR(NOT(Tasks[[#This Row],[_IsLeaf]]=1),Tasks[[#This Row],[_IsMilestone]],N(Tasks[[#This Row],[Progress]])&gt;=1),0,IF(Tasks[[#This Row],[_DoneTo]]&gt;0,Tasks[[#This Row],[_DoneTo]]+1,Tasks[[#This Row],[Start]])))</f>
        <v>0</v>
      </c>
      <c r="GQ142" s="89" t="n">
        <f aca="false">IF(Tasks[[#This Row],[_RemFrom]]=0,0,Tasks[[#This Row],[Finish]])</f>
        <v>0</v>
      </c>
      <c r="GR142" s="88" t="b">
        <f aca="false">IF(Tasks[[#This Row],[Task Name]]="",FALSE(),OR(NOT(BaselineSet),N(Tasks[[#This Row],[Baseline Start]])&gt;0))</f>
        <v>0</v>
      </c>
      <c r="GS1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2" s="90" t="str">
        <f aca="false">IF(Tasks[[#This Row],[_IsLeaf]]=1,Tasks[[#This Row],[_Row]],"")</f>
        <v/>
      </c>
      <c r="GW142" s="90" t="str">
        <f aca="false">IFERROR(INDEX(Tasks[UID],SMALL(Tasks[_PickKey],Tasks[[#This Row],[_Row]]))&amp;" "&amp;INDEX(Tasks[Task Name],SMALL(Tasks[_PickKey],Tasks[[#This Row],[_Row]])),"")</f>
        <v/>
      </c>
      <c r="GX142" s="42" t="str">
        <f aca="false">IF(Tasks[[#This Row],[Task Name]]="","",IF(Tasks[[#This Row],[_IsSummary]],NETWORKDAYS.INTL(Tasks[[#This Row],[Start]],Tasks[[#This Row],[Finish]],WorkWeek,Holidays),N(Tasks[[#This Row],[_Days]])))</f>
        <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3"/>
      <c r="U143" s="23"/>
      <c r="V143" s="83"/>
      <c r="W143" s="23"/>
      <c r="X143" s="83"/>
      <c r="Y143" s="23"/>
      <c r="Z143" s="83"/>
      <c r="AA143" s="23"/>
      <c r="AB143" s="23"/>
      <c r="AC143" s="7"/>
      <c r="AD143" s="7"/>
      <c r="AE143" s="62" t="str">
        <f aca="false">IF(Tasks[[#This Row],[Task Name]]="","",IF(Tasks[[#This Row],[_IsSummary]],MIN(INDEX(Tasks[_ShownFcstStart],Tasks[[#This Row],[_Row]]+1):INDEX(Tasks[_ShownFcstStart],Tasks[[#This Row],[_Row]]+Tasks[[#This Row],[_Descendants]])),Tasks[[#This Row],[_ShownFcstStart]]))</f>
        <v/>
      </c>
      <c r="AF143" s="62"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3" s="7"/>
      <c r="AK143" s="22"/>
      <c r="AL143" s="23"/>
      <c r="AM143" s="7"/>
      <c r="AN143" s="46"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2" t="str">
        <f aca="false">IF(Tasks[[#This Row],[Task Name]]="","",IF(N(Tasks[[#This Row],[Baseline Start]])&gt;0,Tasks[[#This Row],[Baseline Start]],Tasks[[#This Row],[_CalcStart]]))</f>
        <v/>
      </c>
      <c r="AR143" s="62" t="str">
        <f aca="false">IF(Tasks[[#This Row],[Task Name]]="","",IF(N(Tasks[[#This Row],[Baseline Finish]])&gt;0,Tasks[[#This Row],[Baseline Finish]],Tasks[[#This Row],[_CalcFinish]]))</f>
        <v/>
      </c>
      <c r="AS143" s="46" t="str">
        <f aca="false">IF(Tasks[[#This Row],[Task Name]]="","",IF(Tasks[[#This Row],[Start]]&gt;=Tasks[[#This Row],[Planned Start]],NETWORKDAYS.INTL(Tasks[[#This Row],[Planned Start]],Tasks[[#This Row],[Start]],WorkWeek,Holidays)-1,1-NETWORKDAYS.INTL(Tasks[[#This Row],[Start]],Tasks[[#This Row],[Planned Start]],WorkWeek,Holidays)))</f>
        <v/>
      </c>
      <c r="AT143" s="62" t="str">
        <f aca="false">IF(Tasks[[#This Row],[Task Name]]="","",IF(Tasks[[#This Row],[_IsSummary]],MIN(INDEX(Tasks[_LeafLateStart],Tasks[[#This Row],[_Row]]+1):INDEX(Tasks[_LeafLateStart],Tasks[[#This Row],[_Row]]+Tasks[[#This Row],[_Descendants]])),Tasks[[#This Row],[_LeafLateStart]]))</f>
        <v/>
      </c>
      <c r="AU143" s="62" t="str">
        <f aca="false">IF(Tasks[[#This Row],[Task Name]]="","",IF(Tasks[[#This Row],[_IsSummary]],MAX(INDEX(Tasks[_LeafLateFinish],Tasks[[#This Row],[_Row]]+1):INDEX(Tasks[_LeafLateFinish],Tasks[[#This Row],[_Row]]+Tasks[[#This Row],[_Descendants]])),Tasks[[#This Row],[_LeafLateFinish]]))</f>
        <v/>
      </c>
      <c r="AV143" s="46"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4"/>
      <c r="BA1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5"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6"/>
      <c r="BJ143" s="22"/>
      <c r="BK143" s="46" t="str">
        <f aca="false">IF(OR(Tasks[[#This Row],[Task Name]]="",Tasks[[#This Row],[Baseline Duration]]=""),"",Tasks[[#This Row],[_SpanDays]]-N(Tasks[[#This Row],[Baseline Duration]]))</f>
        <v/>
      </c>
      <c r="BL143" s="85" t="str">
        <f aca="false">IF(OR(Tasks[[#This Row],[Task Name]]="",Tasks[[#This Row],[Baseline Work]]=""),"",Tasks[[#This Row],[Work]]-N(Tasks[[#This Row],[Baseline Work]]))</f>
        <v/>
      </c>
      <c r="BM143" s="62" t="str">
        <f aca="false">IF(Tasks[[#This Row],[Task Name]]="","",IF(OR(TakeBaseline="Yes",N(Tasks[[#This Row],[Baseline Start]])=0),Tasks[[#This Row],[Start]],Tasks[[#This Row],[Baseline Start]]))</f>
        <v/>
      </c>
      <c r="BN143" s="62"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5" t="str">
        <f aca="false">IF(Tasks[[#This Row],[Task Name]]="","",IF(OR(TakeBaseline="Yes",N(Tasks[[#This Row],[Baseline Work]])=0),Tasks[[#This Row],[Work]],Tasks[[#This Row],[Baseline Work]]))</f>
        <v/>
      </c>
      <c r="BQ143" s="7"/>
      <c r="BR143" s="7"/>
      <c r="BS143" s="22"/>
      <c r="BT143" s="87"/>
      <c r="BU143" s="42" t="str">
        <f aca="false">IF(Tasks[[#This Row],[Task Name]]="","",MAX(1,N(Tasks[[#This Row],[Level]])))</f>
        <v/>
      </c>
      <c r="BV143" s="42" t="n">
        <f aca="false">ROW()-ROW(Tasks[[#Headers],[ID]])</f>
        <v>138</v>
      </c>
      <c r="BW143" s="42" t="n">
        <f aca="false">IF(OR(Tasks[[#This Row],[Task Name]]="",Tasks[[#This Row],[_Level]]&lt;=1),0,IFERROR(LOOKUP(2,1/(Tasks[[#Headers],[_Level]]:Tasks[[#This Row],[_Level]]=Tasks[[#This Row],[_Level]]-1),ROW(Tasks[[#Headers],[_Level]]:Tasks[[#This Row],[_Level]])),0))</f>
        <v>0</v>
      </c>
      <c r="BX143" s="42" t="n">
        <f aca="false">IFERROR(N(INDEX(Tasks[_Level],Tasks[[#This Row],[_Row]]+1)),0)</f>
        <v>0</v>
      </c>
      <c r="BY143" s="88" t="b">
        <f aca="false">AND(Tasks[[#This Row],[Task Name]]&lt;&gt;"",Tasks[[#This Row],[_NextLevel]]&gt;Tasks[[#This Row],[_Level]])</f>
        <v>0</v>
      </c>
      <c r="BZ143" s="42" t="n">
        <f aca="false">IF(Tasks[[#This Row],[_IsSummary]],COUNTIF(Tasks[WBS],Tasks[[#This Row],[WBS]]&amp;".*"),0)</f>
        <v>0</v>
      </c>
      <c r="CA143" s="42" t="n">
        <f aca="false">IF(AND(Tasks[[#This Row],[Task Name]]&lt;&gt;"",NOT(Tasks[[#This Row],[_IsSummary]])),1,0)</f>
        <v>0</v>
      </c>
      <c r="CB143" s="42" t="n">
        <f aca="false">IF(N(Tasks[[#This Row],[_Pred1UID]])=0,0,IFERROR(MATCH(Tasks[[#This Row],[_Pred1UID]],Tasks[UID],0),-1))</f>
        <v>0</v>
      </c>
      <c r="CC143" s="42" t="n">
        <f aca="false">IF(N(Tasks[[#This Row],[_Pred2UID]])=0,0,IFERROR(MATCH(Tasks[[#This Row],[_Pred2UID]],Tasks[UID],0),-1))</f>
        <v>0</v>
      </c>
      <c r="CD143" s="42" t="n">
        <f aca="false">IF(N(Tasks[[#This Row],[_Pred3UID]])=0,0,IFERROR(MATCH(Tasks[[#This Row],[_Pred3UID]],Tasks[UID],0),-1))</f>
        <v>0</v>
      </c>
      <c r="CE143" s="42" t="n">
        <f aca="false">IF(N(Tasks[[#This Row],[_Pred4UID]])=0,0,IFERROR(MATCH(Tasks[[#This Row],[_Pred4UID]],Tasks[UID],0),-1))</f>
        <v>0</v>
      </c>
      <c r="CF1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3" s="89" t="n">
        <f aca="false">IF(OR(Tasks[[#This Row],[_ConstraintCode]]=2,Tasks[[#This Row],[_ConstraintCode]]=3,Tasks[[#This Row],[_ConstraintCode]]=4,Tasks[[#This Row],[_ConstraintCode]]=6),Tasks[[#This Row],[_ConstraintStart]],0)</f>
        <v>0</v>
      </c>
      <c r="CI143" s="89" t="n">
        <f aca="false">IF(OR(Tasks[[#This Row],[_ConstraintCode]]=2,Tasks[[#This Row],[_ConstraintCode]]=3,Tasks[[#This Row],[_ConstraintCode]]=5,Tasks[[#This Row],[_ConstraintCode]]=7),Tasks[[#This Row],[_ConstraintStart]],2958465)</f>
        <v>2958465</v>
      </c>
      <c r="CJ1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3" s="89" t="str">
        <f aca="false">IF(NOT(Tasks[[#This Row],[_IsLeaf]]=1),"",IF(N(Tasks[[#This Row],[_Days]])&lt;=0,Tasks[[#This Row],[_LeafCalcStart]],WORKDAY.INTL(Tasks[[#This Row],[_LeafCalcStart]],Tasks[[#This Row],[_Days]]-1,WorkWeek,Holidays)))</f>
        <v/>
      </c>
      <c r="CL1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3" s="42" t="str">
        <f aca="false">IF(Tasks[[#This Row],[_Predecessors]]="","",TRIM(MID(SUBSTITUTE(SUBSTITUTE(SUBSTITUTE(UPPER(Tasks[[#This Row],[_Predecessors]]),";",",")," ",""),",",REPT(" ",99)),1,99)))</f>
        <v/>
      </c>
      <c r="CO143" s="42" t="str">
        <f aca="false">IF(Tasks[[#This Row],[_Pred1Text]]="","",IFERROR(VALUE(LEFT(Tasks[[#This Row],[_Pred1Text]],MIN(FIND("F",Tasks[[#This Row],[_Pred1Text]]&amp;"F"),FIND("S",Tasks[[#This Row],[_Pred1Text]]&amp;"S"),FIND("+",Tasks[[#This Row],[_Pred1Text]]&amp;"+"),FIND("-",Tasks[[#This Row],[_Pred1Text]]&amp;"-"))-1)),""))</f>
        <v/>
      </c>
      <c r="CP1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3" s="42" t="str">
        <f aca="false">IF(Tasks[[#This Row],[_Pred1Text]]="","",TRIM(MID(SUBSTITUTE(SUBSTITUTE(SUBSTITUTE(UPPER(Tasks[[#This Row],[_Predecessors]]),";",",")," ",""),",",REPT(" ",99)),100,99)))</f>
        <v/>
      </c>
      <c r="CS143" s="42" t="str">
        <f aca="false">IF(Tasks[[#This Row],[_Pred2Text]]="","",IFERROR(VALUE(LEFT(Tasks[[#This Row],[_Pred2Text]],MIN(FIND("F",Tasks[[#This Row],[_Pred2Text]]&amp;"F"),FIND("S",Tasks[[#This Row],[_Pred2Text]]&amp;"S"),FIND("+",Tasks[[#This Row],[_Pred2Text]]&amp;"+"),FIND("-",Tasks[[#This Row],[_Pred2Text]]&amp;"-"))-1)),""))</f>
        <v/>
      </c>
      <c r="CT1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3" s="42" t="str">
        <f aca="false">IF(Tasks[[#This Row],[_Pred2Text]]="","",TRIM(MID(SUBSTITUTE(SUBSTITUTE(SUBSTITUTE(UPPER(Tasks[[#This Row],[_Predecessors]]),";",",")," ",""),",",REPT(" ",99)),199,99)))</f>
        <v/>
      </c>
      <c r="CW143" s="42" t="str">
        <f aca="false">IF(Tasks[[#This Row],[_Pred3Text]]="","",IFERROR(VALUE(LEFT(Tasks[[#This Row],[_Pred3Text]],MIN(FIND("F",Tasks[[#This Row],[_Pred3Text]]&amp;"F"),FIND("S",Tasks[[#This Row],[_Pred3Text]]&amp;"S"),FIND("+",Tasks[[#This Row],[_Pred3Text]]&amp;"+"),FIND("-",Tasks[[#This Row],[_Pred3Text]]&amp;"-"))-1)),""))</f>
        <v/>
      </c>
      <c r="CX1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3" s="42" t="str">
        <f aca="false">IF(Tasks[[#This Row],[_Pred3Text]]="","",TRIM(MID(SUBSTITUTE(SUBSTITUTE(SUBSTITUTE(UPPER(Tasks[[#This Row],[_Predecessors]]),";",",")," ",""),",",REPT(" ",99)),298,99)))</f>
        <v/>
      </c>
      <c r="DA143" s="42" t="str">
        <f aca="false">IF(Tasks[[#This Row],[_Pred4Text]]="","",IFERROR(VALUE(LEFT(Tasks[[#This Row],[_Pred4Text]],MIN(FIND("F",Tasks[[#This Row],[_Pred4Text]]&amp;"F"),FIND("S",Tasks[[#This Row],[_Pred4Text]]&amp;"S"),FIND("+",Tasks[[#This Row],[_Pred4Text]]&amp;"+"),FIND("-",Tasks[[#This Row],[_Pred4Text]]&amp;"-"))-1)),""))</f>
        <v/>
      </c>
      <c r="DB1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3" s="42" t="str">
        <f aca="false">IF(OR(Tasks[[#This Row],[Task Name]]="",Tasks[[#This Row],[_Resources]]=""),"",TRIM(MID(SUBSTITUTE(Tasks[[#This Row],[_Resources]],",",REPT(" ",99)),1,99)))</f>
        <v/>
      </c>
      <c r="DE143" s="42" t="str">
        <f aca="false">IF(Tasks[[#This Row],[_Res1Text]]="","",TRIM(MID(SUBSTITUTE(Tasks[[#This Row],[_Resources]],",",REPT(" ",99)),100,99)))</f>
        <v/>
      </c>
      <c r="DF143" s="42" t="str">
        <f aca="false">IF(Tasks[[#This Row],[_Res2Text]]="","",TRIM(MID(SUBSTITUTE(Tasks[[#This Row],[_Resources]],",",REPT(" ",99)),199,99)))</f>
        <v/>
      </c>
      <c r="DG143" s="42" t="str">
        <f aca="false">IF(Tasks[[#This Row],[_Res3Text]]="","",TRIM(MID(SUBSTITUTE(Tasks[[#This Row],[_Resources]],",",REPT(" ",99)),298,99)))</f>
        <v/>
      </c>
      <c r="DH143" s="42" t="n">
        <f aca="false">IF(Tasks[[#This Row],[_Res1Text]]="",0,IFERROR(MATCH(TRIM(LEFT(Tasks[[#This Row],[_Res1Text]],FIND("[",Tasks[[#This Row],[_Res1Text]]&amp;"[")-1)),res_Name,0),IFERROR(MATCH(TRIM(LEFT(Tasks[[#This Row],[_Res1Text]],FIND("[",Tasks[[#This Row],[_Res1Text]]&amp;"[")-1)),res_Initials,0),0)))</f>
        <v>0</v>
      </c>
      <c r="DI143" s="42" t="n">
        <f aca="false">IF(Tasks[[#This Row],[_Res2Text]]="",0,IFERROR(MATCH(TRIM(LEFT(Tasks[[#This Row],[_Res2Text]],FIND("[",Tasks[[#This Row],[_Res2Text]]&amp;"[")-1)),res_Name,0),IFERROR(MATCH(TRIM(LEFT(Tasks[[#This Row],[_Res2Text]],FIND("[",Tasks[[#This Row],[_Res2Text]]&amp;"[")-1)),res_Initials,0),0)))</f>
        <v>0</v>
      </c>
      <c r="DJ143" s="42" t="n">
        <f aca="false">IF(Tasks[[#This Row],[_Res3Text]]="",0,IFERROR(MATCH(TRIM(LEFT(Tasks[[#This Row],[_Res3Text]],FIND("[",Tasks[[#This Row],[_Res3Text]]&amp;"[")-1)),res_Name,0),IFERROR(MATCH(TRIM(LEFT(Tasks[[#This Row],[_Res3Text]],FIND("[",Tasks[[#This Row],[_Res3Text]]&amp;"[")-1)),res_Initials,0),0)))</f>
        <v>0</v>
      </c>
      <c r="DK143" s="42" t="n">
        <f aca="false">IF(Tasks[[#This Row],[_Res4Text]]="",0,IFERROR(MATCH(TRIM(LEFT(Tasks[[#This Row],[_Res4Text]],FIND("[",Tasks[[#This Row],[_Res4Text]]&amp;"[")-1)),res_Name,0),IFERROR(MATCH(TRIM(LEFT(Tasks[[#This Row],[_Res4Text]],FIND("[",Tasks[[#This Row],[_Res4Text]]&amp;"[")-1)),res_Initials,0),0)))</f>
        <v>0</v>
      </c>
      <c r="DL143" s="42" t="str">
        <f aca="false">IF(Tasks[[#This Row],[_Res1Text]]="","",IF(Tasks[[#This Row],[_Res1Row]]&gt;0,INDEX(res_Name,Tasks[[#This Row],[_Res1Row]]),TRIM(LEFT(Tasks[[#This Row],[_Res1Text]],FIND("[",Tasks[[#This Row],[_Res1Text]]&amp;"[")-1))))</f>
        <v/>
      </c>
      <c r="DM1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3" s="42" t="n">
        <f aca="false">IF(NOT(Tasks[[#This Row],[_IsLeaf]]=1),0,(Tasks[[#This Row],[_Resource1]]&lt;&gt;"")+(Tasks[[#This Row],[_Res2]]&lt;&gt;"")+(Tasks[[#This Row],[_Res3]]&lt;&gt;"")+(Tasks[[#This Row],[_Res4]]&lt;&gt;""))</f>
        <v>0</v>
      </c>
      <c r="DO143" s="42" t="str">
        <f aca="false">IF(Tasks[[#This Row],[_Res2Text]]="","",IF(Tasks[[#This Row],[_Res2Row]]&gt;0,INDEX(res_Name,Tasks[[#This Row],[_Res2Row]]),TRIM(LEFT(Tasks[[#This Row],[_Res2Text]],FIND("[",Tasks[[#This Row],[_Res2Text]]&amp;"[")-1))))</f>
        <v/>
      </c>
      <c r="DP1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3" s="42" t="n">
        <f aca="false">IF(OR(NOT(Tasks[[#This Row],[_IsLeaf]]=1),Tasks[[#This Row],[_Res2Row]]=0),0,N(Tasks[[#This Row],[_Days]])*HoursPerDay*IF(Tasks[[#This Row],[_Res2Units]]="",DefaultUnits,Tasks[[#This Row],[_Res2Units]]))</f>
        <v>0</v>
      </c>
      <c r="DR143" s="42" t="n">
        <f aca="false">IF(AND(AND(Tasks[[#This Row],[_IsLeaf]]=1,Tasks[[#This Row],[_LeafTotalWork]]&gt;0),Tasks[[#This Row],[_Res2Work]]&gt;0),Tasks[[#This Row],[_Res2Work]]/(Tasks[[#This Row],[_FinishWorkday]]-Tasks[[#This Row],[_StartWorkday]]+1),0)</f>
        <v>0</v>
      </c>
      <c r="DS143" s="42" t="n">
        <f aca="false">Tasks[[#This Row],[_Res2WorkPerWD]]*MAX(0,Tasks[[#This Row],[_StartWorkday]]-1)</f>
        <v>0</v>
      </c>
      <c r="DT143" s="42" t="n">
        <f aca="false">Tasks[[#This Row],[_Res2Work]]*Tasks[[#This Row],[_LeafProgress]]</f>
        <v>0</v>
      </c>
      <c r="DU143" s="42" t="str">
        <f aca="false">IF(Tasks[[#This Row],[_Res3Text]]="","",IF(Tasks[[#This Row],[_Res3Row]]&gt;0,INDEX(res_Name,Tasks[[#This Row],[_Res3Row]]),TRIM(LEFT(Tasks[[#This Row],[_Res3Text]],FIND("[",Tasks[[#This Row],[_Res3Text]]&amp;"[")-1))))</f>
        <v/>
      </c>
      <c r="DV1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3" s="42" t="n">
        <f aca="false">IF(OR(NOT(Tasks[[#This Row],[_IsLeaf]]=1),Tasks[[#This Row],[_Res3Row]]=0),0,N(Tasks[[#This Row],[_Days]])*HoursPerDay*IF(Tasks[[#This Row],[_Res3Units]]="",DefaultUnits,Tasks[[#This Row],[_Res3Units]]))</f>
        <v>0</v>
      </c>
      <c r="DX143" s="42" t="n">
        <f aca="false">IF(AND(AND(Tasks[[#This Row],[_IsLeaf]]=1,Tasks[[#This Row],[_LeafTotalWork]]&gt;0),Tasks[[#This Row],[_Res3Work]]&gt;0),Tasks[[#This Row],[_Res3Work]]/(Tasks[[#This Row],[_FinishWorkday]]-Tasks[[#This Row],[_StartWorkday]]+1),0)</f>
        <v>0</v>
      </c>
      <c r="DY143" s="42" t="n">
        <f aca="false">Tasks[[#This Row],[_Res3WorkPerWD]]*MAX(0,Tasks[[#This Row],[_StartWorkday]]-1)</f>
        <v>0</v>
      </c>
      <c r="DZ143" s="42" t="n">
        <f aca="false">Tasks[[#This Row],[_Res3Work]]*Tasks[[#This Row],[_LeafProgress]]</f>
        <v>0</v>
      </c>
      <c r="EA143" s="42" t="str">
        <f aca="false">IF(Tasks[[#This Row],[_Res4Text]]="","",IF(Tasks[[#This Row],[_Res4Row]]&gt;0,INDEX(res_Name,Tasks[[#This Row],[_Res4Row]]),TRIM(LEFT(Tasks[[#This Row],[_Res4Text]],FIND("[",Tasks[[#This Row],[_Res4Text]]&amp;"[")-1))))</f>
        <v/>
      </c>
      <c r="EB1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3" s="42" t="n">
        <f aca="false">IF(OR(NOT(Tasks[[#This Row],[_IsLeaf]]=1),Tasks[[#This Row],[_Res4Row]]=0),0,N(Tasks[[#This Row],[_Days]])*HoursPerDay*IF(Tasks[[#This Row],[_Res4Units]]="",DefaultUnits,Tasks[[#This Row],[_Res4Units]]))</f>
        <v>0</v>
      </c>
      <c r="ED143" s="42" t="n">
        <f aca="false">IF(AND(AND(Tasks[[#This Row],[_IsLeaf]]=1,Tasks[[#This Row],[_LeafTotalWork]]&gt;0),Tasks[[#This Row],[_Res4Work]]&gt;0),Tasks[[#This Row],[_Res4Work]]/(Tasks[[#This Row],[_FinishWorkday]]-Tasks[[#This Row],[_StartWorkday]]+1),0)</f>
        <v>0</v>
      </c>
      <c r="EE143" s="42" t="n">
        <f aca="false">Tasks[[#This Row],[_Res4WorkPerWD]]*MAX(0,Tasks[[#This Row],[_StartWorkday]]-1)</f>
        <v>0</v>
      </c>
      <c r="EF143" s="42" t="n">
        <f aca="false">Tasks[[#This Row],[_Res4Work]]*Tasks[[#This Row],[_LeafProgress]]</f>
        <v>0</v>
      </c>
      <c r="EG143" s="42" t="n">
        <f aca="false">IF(ISNUMBER(Tasks[[#This Row],[% Complete]]),Tasks[[#This Row],[% Complete]],IF(Tasks[[#This Row],[Stage]]="",0,IFERROR(INDEX(stg_Pct,MATCH(Tasks[[#This Row],[Stage]],stg_Name,0)),0)))</f>
        <v>0</v>
      </c>
      <c r="EH143" s="42" t="n">
        <f aca="false">IF(NOT(Tasks[[#This Row],[_IsLeaf]]=1),0,IF(N(Tasks[[#This Row],[Actual Finish]])&gt;0,1,MIN(1,Tasks[[#This Row],[_Pct]])))</f>
        <v>0</v>
      </c>
      <c r="EI143" s="42" t="n">
        <f aca="false">IF(OR(NOT(Tasks[[#This Row],[_IsLeaf]]=1),Tasks[[#This Row],[_Res1Row]]=0),0,N(Tasks[[#This Row],[_Days]])*HoursPerDay*IF(Tasks[[#This Row],[_Units1]]="",DefaultUnits,Tasks[[#This Row],[_Units1]]))</f>
        <v>0</v>
      </c>
      <c r="EJ143" s="42" t="n">
        <f aca="false">Tasks[[#This Row],[_LeafWork]]+Tasks[[#This Row],[_Res2Work]]+Tasks[[#This Row],[_Res3Work]]+Tasks[[#This Row],[_Res4Work]]</f>
        <v>0</v>
      </c>
      <c r="EK1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3" s="42" t="n">
        <f aca="false">IF(NOT(Tasks[[#This Row],[_IsLeaf]]=1),0,MAX(_xlfn.MAXIFS(Tasks[_Row],Tasks[_Pred1UID],Tasks[[#This Row],[UID]]),_xlfn.MAXIFS(Tasks[_Row],Tasks[_Pred2UID],Tasks[[#This Row],[UID]]),_xlfn.MAXIFS(Tasks[_Row],Tasks[_Pred3UID],Tasks[[#This Row],[UID]]),_xlfn.MAXIFS(Tasks[_Row],Tasks[_Pred4UID],Tasks[[#This Row],[UID]])))</f>
        <v>0</v>
      </c>
      <c r="ET1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3" s="89" t="str">
        <f aca="false">IF(NOT(Tasks[[#This Row],[_IsLeaf]]=1),"",IF(N(Tasks[[#This Row],[_Days]])&lt;=0,Tasks[[#This Row],[_LeafLateFinish]],WORKDAY.INTL(Tasks[[#This Row],[_LeafLateFinish]],-(Tasks[[#This Row],[_Days]]-1),WorkWeek,Holidays)))</f>
        <v/>
      </c>
      <c r="EW1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3" s="88" t="b">
        <f aca="false">AND(Tasks[[#This Row],[_IsLeaf]]=1,Tasks[[#This Row],[_LeafProgress]]&lt;1,N(Tasks[[#This Row],[_LeafTotalSlack]])&lt;=CriticalSlackDays)</f>
        <v>0</v>
      </c>
      <c r="EY143" s="42" t="n">
        <f aca="false">IF(AND(Tasks[[#This Row],[_IsLeaf]]=1,Tasks[[#This Row],[_ConstraintCode]]=1,Tasks[[#This Row],[Mode]]&lt;&gt;"Manual",N(Tasks[[#This Row],[Actual Start]])=0),MAX(0,N(Tasks[[#This Row],[Free Slack]])),0)</f>
        <v>0</v>
      </c>
      <c r="EZ143" s="89" t="str">
        <f aca="false">IF(NOT(Tasks[[#This Row],[_IsLeaf]]=1),"",IF(Tasks[[#This Row],[_AlapShift]]=0,Tasks[[#This Row],[_LeafCalcStart]],WORKDAY.INTL(Tasks[[#This Row],[_LeafCalcStart]],Tasks[[#This Row],[_AlapShift]],WorkWeek,Holidays)))</f>
        <v/>
      </c>
      <c r="FA143" s="89" t="str">
        <f aca="false">IF(NOT(Tasks[[#This Row],[_IsLeaf]]=1),"",IF(Tasks[[#This Row],[_AlapShift]]=0,Tasks[[#This Row],[_LeafCalcFinish]],WORKDAY.INTL(Tasks[[#This Row],[_LeafCalcFinish]],Tasks[[#This Row],[_AlapShift]],WorkWeek,Holidays)))</f>
        <v/>
      </c>
      <c r="FB143" s="89" t="str">
        <f aca="false">IF(NOT(Tasks[[#This Row],[_IsLeaf]]=1),"",IF(Tasks[[#This Row],[_AlapShift]]=0,Tasks[[#This Row],[_LeafFcstStart]],WORKDAY.INTL(Tasks[[#This Row],[_LeafFcstStart]],Tasks[[#This Row],[_AlapShift]],WorkWeek,Holidays)))</f>
        <v/>
      </c>
      <c r="FC143" s="89" t="str">
        <f aca="false">IF(NOT(Tasks[[#This Row],[_IsLeaf]]=1),"",IF(Tasks[[#This Row],[_AlapShift]]=0,Tasks[[#This Row],[_LeafFcstFinish]],WORKDAY.INTL(Tasks[[#This Row],[_LeafFcstFinish]],Tasks[[#This Row],[_AlapShift]],WorkWeek,Holidays)))</f>
        <v/>
      </c>
      <c r="FD143" s="89" t="str">
        <f aca="false">IF(Tasks[[#This Row],[Task Name]]="","",IF(Tasks[[#This Row],[_IsSummary]],MIN(INDEX(Tasks[_ShownCalcStart],Tasks[[#This Row],[_Row]]+1):INDEX(Tasks[_ShownCalcStart],Tasks[[#This Row],[_Row]]+Tasks[[#This Row],[_Descendants]])),Tasks[[#This Row],[_ShownCalcStart]]))</f>
        <v/>
      </c>
      <c r="FE143" s="89" t="str">
        <f aca="false">IF(Tasks[[#This Row],[Task Name]]="","",IF(Tasks[[#This Row],[_IsSummary]],MAX(INDEX(Tasks[_ShownCalcFinish],Tasks[[#This Row],[_Row]]+1):INDEX(Tasks[_ShownCalcFinish],Tasks[[#This Row],[_Row]]+Tasks[[#This Row],[_Descendants]])),Tasks[[#This Row],[_ShownCalcFinish]]))</f>
        <v/>
      </c>
      <c r="FF1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3" s="42" t="n">
        <f aca="false">IF(AND(Tasks[[#This Row],[_IsLeaf]]=1,Tasks[[#This Row],[_LeafTotalWork]]&gt;0),NETWORKDAYS.INTL(ProjectStart,Tasks[[#This Row],[_ShownFcstStart]],WorkWeek,Holidays),0)</f>
        <v>0</v>
      </c>
      <c r="FS143" s="42" t="n">
        <f aca="false">IF(AND(Tasks[[#This Row],[_IsLeaf]]=1,Tasks[[#This Row],[_LeafTotalWork]]&gt;0),MAX(Tasks[[#This Row],[_StartWorkday]],NETWORKDAYS.INTL(ProjectStart,Tasks[[#This Row],[_ShownFcstFinish]],WorkWeek,Holidays)),0)</f>
        <v>0</v>
      </c>
      <c r="FT143" s="42" t="n">
        <f aca="false">IF(AND(Tasks[[#This Row],[_IsLeaf]]=1,Tasks[[#This Row],[_LeafTotalWork]]&gt;0),Tasks[[#This Row],[_LeafWork]]/(Tasks[[#This Row],[_FinishWorkday]]-Tasks[[#This Row],[_StartWorkday]]+1),0)</f>
        <v>0</v>
      </c>
      <c r="FU143" s="42" t="n">
        <f aca="false">Tasks[[#This Row],[_WorkPerWorkday]]*(Tasks[[#This Row],[_StartWorkday]]-1)</f>
        <v>-0</v>
      </c>
      <c r="FV143" s="42" t="n">
        <f aca="false">IF(Tasks[[#This Row],[_IsLeaf]]=1,MAX(N(Tasks[[#This Row],[_Days]]),0.1),0)</f>
        <v>0</v>
      </c>
      <c r="FW143" s="42" t="n">
        <f aca="false">Tasks[[#This Row],[_WeightDur]]*Tasks[[#This Row],[_LeafProgress]]</f>
        <v>0</v>
      </c>
      <c r="FX143" s="42" t="n">
        <f aca="false">Tasks[[#This Row],[_WeightDur]]*Tasks[[#This Row],[_PlannedPct]]</f>
        <v>0</v>
      </c>
      <c r="FY1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3" s="42" t="str">
        <f aca="false">IF(AND(Tasks[[#This Row],[_IsLeaf]]=1,N(Tasks[[#This Row],[_Days]])=0,Tasks[[#This Row],[_LeafProgress]]&lt;1),Tasks[[#This Row],[_ShownFcstFinish]]+Tasks[[#This Row],[_Row]]/100000,"")</f>
        <v/>
      </c>
      <c r="GA1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3" s="42" t="str">
        <f aca="false">IF(Tasks[[#This Row],[Task Name]]="","",LEFT(Tasks[[#This Row],[WBS]],FIND(".",Tasks[[#This Row],[WBS]]&amp;".")-1))</f>
        <v/>
      </c>
      <c r="GC143" s="42" t="str">
        <f aca="false">IF(AND(Tasks[[#This Row],[Task Name]]&lt;&gt;"",Tasks[[#This Row],[_Level]]=1),Tasks[[#This Row],[_Row]],"")</f>
        <v/>
      </c>
      <c r="GD143" s="42" t="str">
        <f aca="false">IF(AND(Tasks[[#This Row],[_IsLeaf]]=1,N(Tasks[[#This Row],[_Days]])=0),Tasks[[#This Row],[Planned Finish]]+Tasks[[#This Row],[_Row]]/100000,"")</f>
        <v/>
      </c>
      <c r="GE143" s="42" t="str">
        <f aca="false">IF(AND(Tasks[[#This Row],[_IsLeaf]]=1,Tasks[[#This Row],[_LeafProgress]]&lt;1,OR(N(Tasks[[#This Row],[Finish Var]])&gt;0,Tasks[[#This Row],[Status]]="Late Start")),MAX(0,Tasks[[#This Row],[Finish Var]])+1-Tasks[[#This Row],[_Row]]/1000000,"")</f>
        <v/>
      </c>
      <c r="GF143" s="42" t="str">
        <f aca="false">IF(AND(Tasks[[#This Row],[_IsLeaf]]=1,N(Tasks[[#This Row],[Actual Start]])=0,Tasks[[#This Row],[_ShownFcstStart]]&gt;=StatusDate,Tasks[[#This Row],[_ShownFcstStart]]&lt;=LookaheadEnd),Tasks[[#This Row],[_ShownFcstStart]]+Tasks[[#This Row],[_Row]]/100000,"")</f>
        <v/>
      </c>
      <c r="GG143" s="42" t="str">
        <f aca="false">IF(AND(Tasks[[#This Row],[_IsLeaf]]=1,Tasks[[#This Row],[_LeafProgress]]&lt;1,Tasks[[#This Row],[_ShownFcstFinish]]&gt;=StatusDate,Tasks[[#This Row],[_ShownFcstFinish]]&lt;=LookaheadEnd),Tasks[[#This Row],[_ShownFcstFinish]]+Tasks[[#This Row],[_Row]]/100000,"")</f>
        <v/>
      </c>
      <c r="GH143" s="42" t="str">
        <f aca="false">IF(Tasks[[#This Row],[_LeafCritical]],Tasks[[#This Row],[_ShownFcstStart]]+Tasks[[#This Row],[_Row]]/100000,"")</f>
        <v/>
      </c>
      <c r="GI143" s="42" t="n">
        <f aca="false">Tasks[[#This Row],[_LeafWork]]*Tasks[[#This Row],[_LeafProgress]]</f>
        <v>0</v>
      </c>
      <c r="GJ143" s="89" t="str">
        <f aca="false">IF(AND(Tasks[[#This Row],[_IsLeaf]]=1,Tasks[[#This Row],[_LeafProgress]]&gt;=1),IF(N(Tasks[[#This Row],[Actual Finish]])&gt;0,Tasks[[#This Row],[Actual Finish]],Tasks[[#This Row],[_ShownFcstFinish]]),"")</f>
        <v/>
      </c>
      <c r="GK143" s="42" t="n">
        <f aca="false">IF(Tasks[[#This Row],[_IsLeaf]]=1,N(Tasks[[#This Row],[Story Points]]),0)</f>
        <v>0</v>
      </c>
      <c r="GL143" s="42" t="str">
        <f aca="false">""</f>
        <v/>
      </c>
      <c r="GM143" s="88" t="b">
        <f aca="false">IF(Tasks[[#This Row],[Task Name]]="",FALSE(),AND(Tasks[[#This Row],[_IsLeaf]]=1,N(Tasks[[#This Row],[_Days]])=0))</f>
        <v>0</v>
      </c>
      <c r="GN143" s="89" t="n">
        <f aca="false">IF(Tasks[[#This Row],[Task Name]]="",0,IF(AND(Tasks[[#This Row],[_IsLeaf]]=1,NOT(Tasks[[#This Row],[_IsMilestone]]),N(Tasks[[#This Row],[Progress]])&gt;0),Tasks[[#This Row],[Start]],0))</f>
        <v>0</v>
      </c>
      <c r="GO143" s="89" t="n">
        <f aca="false">IF(Tasks[[#This Row],[_DoneFrom]]=0,0,IF(Tasks[[#This Row],[Progress]]&gt;=1,Tasks[[#This Row],[Finish]],MAX(Tasks[[#This Row],[_DoneFrom]],Tasks[[#This Row],[Start]]+ROUND((Tasks[[#This Row],[Finish]]-Tasks[[#This Row],[Start]]+1)*Tasks[[#This Row],[Progress]],0)-1)))</f>
        <v>0</v>
      </c>
      <c r="GP143" s="89" t="n">
        <f aca="false">IF(Tasks[[#This Row],[Task Name]]="",0,IF(OR(NOT(Tasks[[#This Row],[_IsLeaf]]=1),Tasks[[#This Row],[_IsMilestone]],N(Tasks[[#This Row],[Progress]])&gt;=1),0,IF(Tasks[[#This Row],[_DoneTo]]&gt;0,Tasks[[#This Row],[_DoneTo]]+1,Tasks[[#This Row],[Start]])))</f>
        <v>0</v>
      </c>
      <c r="GQ143" s="89" t="n">
        <f aca="false">IF(Tasks[[#This Row],[_RemFrom]]=0,0,Tasks[[#This Row],[Finish]])</f>
        <v>0</v>
      </c>
      <c r="GR143" s="88" t="b">
        <f aca="false">IF(Tasks[[#This Row],[Task Name]]="",FALSE(),OR(NOT(BaselineSet),N(Tasks[[#This Row],[Baseline Start]])&gt;0))</f>
        <v>0</v>
      </c>
      <c r="GS1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3" s="90" t="str">
        <f aca="false">IF(Tasks[[#This Row],[_IsLeaf]]=1,Tasks[[#This Row],[_Row]],"")</f>
        <v/>
      </c>
      <c r="GW143" s="90" t="str">
        <f aca="false">IFERROR(INDEX(Tasks[UID],SMALL(Tasks[_PickKey],Tasks[[#This Row],[_Row]]))&amp;" "&amp;INDEX(Tasks[Task Name],SMALL(Tasks[_PickKey],Tasks[[#This Row],[_Row]])),"")</f>
        <v/>
      </c>
      <c r="GX143" s="42" t="str">
        <f aca="false">IF(Tasks[[#This Row],[Task Name]]="","",IF(Tasks[[#This Row],[_IsSummary]],NETWORKDAYS.INTL(Tasks[[#This Row],[Start]],Tasks[[#This Row],[Finish]],WorkWeek,Holidays),N(Tasks[[#This Row],[_Days]])))</f>
        <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3"/>
      <c r="U144" s="23"/>
      <c r="V144" s="83"/>
      <c r="W144" s="23"/>
      <c r="X144" s="83"/>
      <c r="Y144" s="23"/>
      <c r="Z144" s="83"/>
      <c r="AA144" s="23"/>
      <c r="AB144" s="23"/>
      <c r="AC144" s="7"/>
      <c r="AD144" s="7"/>
      <c r="AE144" s="62" t="str">
        <f aca="false">IF(Tasks[[#This Row],[Task Name]]="","",IF(Tasks[[#This Row],[_IsSummary]],MIN(INDEX(Tasks[_ShownFcstStart],Tasks[[#This Row],[_Row]]+1):INDEX(Tasks[_ShownFcstStart],Tasks[[#This Row],[_Row]]+Tasks[[#This Row],[_Descendants]])),Tasks[[#This Row],[_ShownFcstStart]]))</f>
        <v/>
      </c>
      <c r="AF144" s="62"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4" s="7"/>
      <c r="AK144" s="22"/>
      <c r="AL144" s="23"/>
      <c r="AM144" s="7"/>
      <c r="AN144" s="46"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2" t="str">
        <f aca="false">IF(Tasks[[#This Row],[Task Name]]="","",IF(N(Tasks[[#This Row],[Baseline Start]])&gt;0,Tasks[[#This Row],[Baseline Start]],Tasks[[#This Row],[_CalcStart]]))</f>
        <v/>
      </c>
      <c r="AR144" s="62" t="str">
        <f aca="false">IF(Tasks[[#This Row],[Task Name]]="","",IF(N(Tasks[[#This Row],[Baseline Finish]])&gt;0,Tasks[[#This Row],[Baseline Finish]],Tasks[[#This Row],[_CalcFinish]]))</f>
        <v/>
      </c>
      <c r="AS144" s="46" t="str">
        <f aca="false">IF(Tasks[[#This Row],[Task Name]]="","",IF(Tasks[[#This Row],[Start]]&gt;=Tasks[[#This Row],[Planned Start]],NETWORKDAYS.INTL(Tasks[[#This Row],[Planned Start]],Tasks[[#This Row],[Start]],WorkWeek,Holidays)-1,1-NETWORKDAYS.INTL(Tasks[[#This Row],[Start]],Tasks[[#This Row],[Planned Start]],WorkWeek,Holidays)))</f>
        <v/>
      </c>
      <c r="AT144" s="62" t="str">
        <f aca="false">IF(Tasks[[#This Row],[Task Name]]="","",IF(Tasks[[#This Row],[_IsSummary]],MIN(INDEX(Tasks[_LeafLateStart],Tasks[[#This Row],[_Row]]+1):INDEX(Tasks[_LeafLateStart],Tasks[[#This Row],[_Row]]+Tasks[[#This Row],[_Descendants]])),Tasks[[#This Row],[_LeafLateStart]]))</f>
        <v/>
      </c>
      <c r="AU144" s="62" t="str">
        <f aca="false">IF(Tasks[[#This Row],[Task Name]]="","",IF(Tasks[[#This Row],[_IsSummary]],MAX(INDEX(Tasks[_LeafLateFinish],Tasks[[#This Row],[_Row]]+1):INDEX(Tasks[_LeafLateFinish],Tasks[[#This Row],[_Row]]+Tasks[[#This Row],[_Descendants]])),Tasks[[#This Row],[_LeafLateFinish]]))</f>
        <v/>
      </c>
      <c r="AV144" s="46"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4"/>
      <c r="BA1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5"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6"/>
      <c r="BJ144" s="22"/>
      <c r="BK144" s="46" t="str">
        <f aca="false">IF(OR(Tasks[[#This Row],[Task Name]]="",Tasks[[#This Row],[Baseline Duration]]=""),"",Tasks[[#This Row],[_SpanDays]]-N(Tasks[[#This Row],[Baseline Duration]]))</f>
        <v/>
      </c>
      <c r="BL144" s="85" t="str">
        <f aca="false">IF(OR(Tasks[[#This Row],[Task Name]]="",Tasks[[#This Row],[Baseline Work]]=""),"",Tasks[[#This Row],[Work]]-N(Tasks[[#This Row],[Baseline Work]]))</f>
        <v/>
      </c>
      <c r="BM144" s="62" t="str">
        <f aca="false">IF(Tasks[[#This Row],[Task Name]]="","",IF(OR(TakeBaseline="Yes",N(Tasks[[#This Row],[Baseline Start]])=0),Tasks[[#This Row],[Start]],Tasks[[#This Row],[Baseline Start]]))</f>
        <v/>
      </c>
      <c r="BN144" s="62"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5" t="str">
        <f aca="false">IF(Tasks[[#This Row],[Task Name]]="","",IF(OR(TakeBaseline="Yes",N(Tasks[[#This Row],[Baseline Work]])=0),Tasks[[#This Row],[Work]],Tasks[[#This Row],[Baseline Work]]))</f>
        <v/>
      </c>
      <c r="BQ144" s="7"/>
      <c r="BR144" s="7"/>
      <c r="BS144" s="22"/>
      <c r="BT144" s="87"/>
      <c r="BU144" s="42" t="str">
        <f aca="false">IF(Tasks[[#This Row],[Task Name]]="","",MAX(1,N(Tasks[[#This Row],[Level]])))</f>
        <v/>
      </c>
      <c r="BV144" s="42" t="n">
        <f aca="false">ROW()-ROW(Tasks[[#Headers],[ID]])</f>
        <v>139</v>
      </c>
      <c r="BW144" s="42" t="n">
        <f aca="false">IF(OR(Tasks[[#This Row],[Task Name]]="",Tasks[[#This Row],[_Level]]&lt;=1),0,IFERROR(LOOKUP(2,1/(Tasks[[#Headers],[_Level]]:Tasks[[#This Row],[_Level]]=Tasks[[#This Row],[_Level]]-1),ROW(Tasks[[#Headers],[_Level]]:Tasks[[#This Row],[_Level]])),0))</f>
        <v>0</v>
      </c>
      <c r="BX144" s="42" t="n">
        <f aca="false">IFERROR(N(INDEX(Tasks[_Level],Tasks[[#This Row],[_Row]]+1)),0)</f>
        <v>0</v>
      </c>
      <c r="BY144" s="88" t="b">
        <f aca="false">AND(Tasks[[#This Row],[Task Name]]&lt;&gt;"",Tasks[[#This Row],[_NextLevel]]&gt;Tasks[[#This Row],[_Level]])</f>
        <v>0</v>
      </c>
      <c r="BZ144" s="42" t="n">
        <f aca="false">IF(Tasks[[#This Row],[_IsSummary]],COUNTIF(Tasks[WBS],Tasks[[#This Row],[WBS]]&amp;".*"),0)</f>
        <v>0</v>
      </c>
      <c r="CA144" s="42" t="n">
        <f aca="false">IF(AND(Tasks[[#This Row],[Task Name]]&lt;&gt;"",NOT(Tasks[[#This Row],[_IsSummary]])),1,0)</f>
        <v>0</v>
      </c>
      <c r="CB144" s="42" t="n">
        <f aca="false">IF(N(Tasks[[#This Row],[_Pred1UID]])=0,0,IFERROR(MATCH(Tasks[[#This Row],[_Pred1UID]],Tasks[UID],0),-1))</f>
        <v>0</v>
      </c>
      <c r="CC144" s="42" t="n">
        <f aca="false">IF(N(Tasks[[#This Row],[_Pred2UID]])=0,0,IFERROR(MATCH(Tasks[[#This Row],[_Pred2UID]],Tasks[UID],0),-1))</f>
        <v>0</v>
      </c>
      <c r="CD144" s="42" t="n">
        <f aca="false">IF(N(Tasks[[#This Row],[_Pred3UID]])=0,0,IFERROR(MATCH(Tasks[[#This Row],[_Pred3UID]],Tasks[UID],0),-1))</f>
        <v>0</v>
      </c>
      <c r="CE144" s="42" t="n">
        <f aca="false">IF(N(Tasks[[#This Row],[_Pred4UID]])=0,0,IFERROR(MATCH(Tasks[[#This Row],[_Pred4UID]],Tasks[UID],0),-1))</f>
        <v>0</v>
      </c>
      <c r="CF1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4" s="89" t="n">
        <f aca="false">IF(OR(Tasks[[#This Row],[_ConstraintCode]]=2,Tasks[[#This Row],[_ConstraintCode]]=3,Tasks[[#This Row],[_ConstraintCode]]=4,Tasks[[#This Row],[_ConstraintCode]]=6),Tasks[[#This Row],[_ConstraintStart]],0)</f>
        <v>0</v>
      </c>
      <c r="CI144" s="89" t="n">
        <f aca="false">IF(OR(Tasks[[#This Row],[_ConstraintCode]]=2,Tasks[[#This Row],[_ConstraintCode]]=3,Tasks[[#This Row],[_ConstraintCode]]=5,Tasks[[#This Row],[_ConstraintCode]]=7),Tasks[[#This Row],[_ConstraintStart]],2958465)</f>
        <v>2958465</v>
      </c>
      <c r="CJ1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4" s="89" t="str">
        <f aca="false">IF(NOT(Tasks[[#This Row],[_IsLeaf]]=1),"",IF(N(Tasks[[#This Row],[_Days]])&lt;=0,Tasks[[#This Row],[_LeafCalcStart]],WORKDAY.INTL(Tasks[[#This Row],[_LeafCalcStart]],Tasks[[#This Row],[_Days]]-1,WorkWeek,Holidays)))</f>
        <v/>
      </c>
      <c r="CL1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4" s="42" t="str">
        <f aca="false">IF(Tasks[[#This Row],[_Predecessors]]="","",TRIM(MID(SUBSTITUTE(SUBSTITUTE(SUBSTITUTE(UPPER(Tasks[[#This Row],[_Predecessors]]),";",",")," ",""),",",REPT(" ",99)),1,99)))</f>
        <v/>
      </c>
      <c r="CO144" s="42" t="str">
        <f aca="false">IF(Tasks[[#This Row],[_Pred1Text]]="","",IFERROR(VALUE(LEFT(Tasks[[#This Row],[_Pred1Text]],MIN(FIND("F",Tasks[[#This Row],[_Pred1Text]]&amp;"F"),FIND("S",Tasks[[#This Row],[_Pred1Text]]&amp;"S"),FIND("+",Tasks[[#This Row],[_Pred1Text]]&amp;"+"),FIND("-",Tasks[[#This Row],[_Pred1Text]]&amp;"-"))-1)),""))</f>
        <v/>
      </c>
      <c r="CP1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4" s="42" t="str">
        <f aca="false">IF(Tasks[[#This Row],[_Pred1Text]]="","",TRIM(MID(SUBSTITUTE(SUBSTITUTE(SUBSTITUTE(UPPER(Tasks[[#This Row],[_Predecessors]]),";",",")," ",""),",",REPT(" ",99)),100,99)))</f>
        <v/>
      </c>
      <c r="CS144" s="42" t="str">
        <f aca="false">IF(Tasks[[#This Row],[_Pred2Text]]="","",IFERROR(VALUE(LEFT(Tasks[[#This Row],[_Pred2Text]],MIN(FIND("F",Tasks[[#This Row],[_Pred2Text]]&amp;"F"),FIND("S",Tasks[[#This Row],[_Pred2Text]]&amp;"S"),FIND("+",Tasks[[#This Row],[_Pred2Text]]&amp;"+"),FIND("-",Tasks[[#This Row],[_Pred2Text]]&amp;"-"))-1)),""))</f>
        <v/>
      </c>
      <c r="CT1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4" s="42" t="str">
        <f aca="false">IF(Tasks[[#This Row],[_Pred2Text]]="","",TRIM(MID(SUBSTITUTE(SUBSTITUTE(SUBSTITUTE(UPPER(Tasks[[#This Row],[_Predecessors]]),";",",")," ",""),",",REPT(" ",99)),199,99)))</f>
        <v/>
      </c>
      <c r="CW144" s="42" t="str">
        <f aca="false">IF(Tasks[[#This Row],[_Pred3Text]]="","",IFERROR(VALUE(LEFT(Tasks[[#This Row],[_Pred3Text]],MIN(FIND("F",Tasks[[#This Row],[_Pred3Text]]&amp;"F"),FIND("S",Tasks[[#This Row],[_Pred3Text]]&amp;"S"),FIND("+",Tasks[[#This Row],[_Pred3Text]]&amp;"+"),FIND("-",Tasks[[#This Row],[_Pred3Text]]&amp;"-"))-1)),""))</f>
        <v/>
      </c>
      <c r="CX1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4" s="42" t="str">
        <f aca="false">IF(Tasks[[#This Row],[_Pred3Text]]="","",TRIM(MID(SUBSTITUTE(SUBSTITUTE(SUBSTITUTE(UPPER(Tasks[[#This Row],[_Predecessors]]),";",",")," ",""),",",REPT(" ",99)),298,99)))</f>
        <v/>
      </c>
      <c r="DA144" s="42" t="str">
        <f aca="false">IF(Tasks[[#This Row],[_Pred4Text]]="","",IFERROR(VALUE(LEFT(Tasks[[#This Row],[_Pred4Text]],MIN(FIND("F",Tasks[[#This Row],[_Pred4Text]]&amp;"F"),FIND("S",Tasks[[#This Row],[_Pred4Text]]&amp;"S"),FIND("+",Tasks[[#This Row],[_Pred4Text]]&amp;"+"),FIND("-",Tasks[[#This Row],[_Pred4Text]]&amp;"-"))-1)),""))</f>
        <v/>
      </c>
      <c r="DB1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4" s="42" t="str">
        <f aca="false">IF(OR(Tasks[[#This Row],[Task Name]]="",Tasks[[#This Row],[_Resources]]=""),"",TRIM(MID(SUBSTITUTE(Tasks[[#This Row],[_Resources]],",",REPT(" ",99)),1,99)))</f>
        <v/>
      </c>
      <c r="DE144" s="42" t="str">
        <f aca="false">IF(Tasks[[#This Row],[_Res1Text]]="","",TRIM(MID(SUBSTITUTE(Tasks[[#This Row],[_Resources]],",",REPT(" ",99)),100,99)))</f>
        <v/>
      </c>
      <c r="DF144" s="42" t="str">
        <f aca="false">IF(Tasks[[#This Row],[_Res2Text]]="","",TRIM(MID(SUBSTITUTE(Tasks[[#This Row],[_Resources]],",",REPT(" ",99)),199,99)))</f>
        <v/>
      </c>
      <c r="DG144" s="42" t="str">
        <f aca="false">IF(Tasks[[#This Row],[_Res3Text]]="","",TRIM(MID(SUBSTITUTE(Tasks[[#This Row],[_Resources]],",",REPT(" ",99)),298,99)))</f>
        <v/>
      </c>
      <c r="DH144" s="42" t="n">
        <f aca="false">IF(Tasks[[#This Row],[_Res1Text]]="",0,IFERROR(MATCH(TRIM(LEFT(Tasks[[#This Row],[_Res1Text]],FIND("[",Tasks[[#This Row],[_Res1Text]]&amp;"[")-1)),res_Name,0),IFERROR(MATCH(TRIM(LEFT(Tasks[[#This Row],[_Res1Text]],FIND("[",Tasks[[#This Row],[_Res1Text]]&amp;"[")-1)),res_Initials,0),0)))</f>
        <v>0</v>
      </c>
      <c r="DI144" s="42" t="n">
        <f aca="false">IF(Tasks[[#This Row],[_Res2Text]]="",0,IFERROR(MATCH(TRIM(LEFT(Tasks[[#This Row],[_Res2Text]],FIND("[",Tasks[[#This Row],[_Res2Text]]&amp;"[")-1)),res_Name,0),IFERROR(MATCH(TRIM(LEFT(Tasks[[#This Row],[_Res2Text]],FIND("[",Tasks[[#This Row],[_Res2Text]]&amp;"[")-1)),res_Initials,0),0)))</f>
        <v>0</v>
      </c>
      <c r="DJ144" s="42" t="n">
        <f aca="false">IF(Tasks[[#This Row],[_Res3Text]]="",0,IFERROR(MATCH(TRIM(LEFT(Tasks[[#This Row],[_Res3Text]],FIND("[",Tasks[[#This Row],[_Res3Text]]&amp;"[")-1)),res_Name,0),IFERROR(MATCH(TRIM(LEFT(Tasks[[#This Row],[_Res3Text]],FIND("[",Tasks[[#This Row],[_Res3Text]]&amp;"[")-1)),res_Initials,0),0)))</f>
        <v>0</v>
      </c>
      <c r="DK144" s="42" t="n">
        <f aca="false">IF(Tasks[[#This Row],[_Res4Text]]="",0,IFERROR(MATCH(TRIM(LEFT(Tasks[[#This Row],[_Res4Text]],FIND("[",Tasks[[#This Row],[_Res4Text]]&amp;"[")-1)),res_Name,0),IFERROR(MATCH(TRIM(LEFT(Tasks[[#This Row],[_Res4Text]],FIND("[",Tasks[[#This Row],[_Res4Text]]&amp;"[")-1)),res_Initials,0),0)))</f>
        <v>0</v>
      </c>
      <c r="DL144" s="42" t="str">
        <f aca="false">IF(Tasks[[#This Row],[_Res1Text]]="","",IF(Tasks[[#This Row],[_Res1Row]]&gt;0,INDEX(res_Name,Tasks[[#This Row],[_Res1Row]]),TRIM(LEFT(Tasks[[#This Row],[_Res1Text]],FIND("[",Tasks[[#This Row],[_Res1Text]]&amp;"[")-1))))</f>
        <v/>
      </c>
      <c r="DM1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4" s="42" t="n">
        <f aca="false">IF(NOT(Tasks[[#This Row],[_IsLeaf]]=1),0,(Tasks[[#This Row],[_Resource1]]&lt;&gt;"")+(Tasks[[#This Row],[_Res2]]&lt;&gt;"")+(Tasks[[#This Row],[_Res3]]&lt;&gt;"")+(Tasks[[#This Row],[_Res4]]&lt;&gt;""))</f>
        <v>0</v>
      </c>
      <c r="DO144" s="42" t="str">
        <f aca="false">IF(Tasks[[#This Row],[_Res2Text]]="","",IF(Tasks[[#This Row],[_Res2Row]]&gt;0,INDEX(res_Name,Tasks[[#This Row],[_Res2Row]]),TRIM(LEFT(Tasks[[#This Row],[_Res2Text]],FIND("[",Tasks[[#This Row],[_Res2Text]]&amp;"[")-1))))</f>
        <v/>
      </c>
      <c r="DP1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4" s="42" t="n">
        <f aca="false">IF(OR(NOT(Tasks[[#This Row],[_IsLeaf]]=1),Tasks[[#This Row],[_Res2Row]]=0),0,N(Tasks[[#This Row],[_Days]])*HoursPerDay*IF(Tasks[[#This Row],[_Res2Units]]="",DefaultUnits,Tasks[[#This Row],[_Res2Units]]))</f>
        <v>0</v>
      </c>
      <c r="DR144" s="42" t="n">
        <f aca="false">IF(AND(AND(Tasks[[#This Row],[_IsLeaf]]=1,Tasks[[#This Row],[_LeafTotalWork]]&gt;0),Tasks[[#This Row],[_Res2Work]]&gt;0),Tasks[[#This Row],[_Res2Work]]/(Tasks[[#This Row],[_FinishWorkday]]-Tasks[[#This Row],[_StartWorkday]]+1),0)</f>
        <v>0</v>
      </c>
      <c r="DS144" s="42" t="n">
        <f aca="false">Tasks[[#This Row],[_Res2WorkPerWD]]*MAX(0,Tasks[[#This Row],[_StartWorkday]]-1)</f>
        <v>0</v>
      </c>
      <c r="DT144" s="42" t="n">
        <f aca="false">Tasks[[#This Row],[_Res2Work]]*Tasks[[#This Row],[_LeafProgress]]</f>
        <v>0</v>
      </c>
      <c r="DU144" s="42" t="str">
        <f aca="false">IF(Tasks[[#This Row],[_Res3Text]]="","",IF(Tasks[[#This Row],[_Res3Row]]&gt;0,INDEX(res_Name,Tasks[[#This Row],[_Res3Row]]),TRIM(LEFT(Tasks[[#This Row],[_Res3Text]],FIND("[",Tasks[[#This Row],[_Res3Text]]&amp;"[")-1))))</f>
        <v/>
      </c>
      <c r="DV1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4" s="42" t="n">
        <f aca="false">IF(OR(NOT(Tasks[[#This Row],[_IsLeaf]]=1),Tasks[[#This Row],[_Res3Row]]=0),0,N(Tasks[[#This Row],[_Days]])*HoursPerDay*IF(Tasks[[#This Row],[_Res3Units]]="",DefaultUnits,Tasks[[#This Row],[_Res3Units]]))</f>
        <v>0</v>
      </c>
      <c r="DX144" s="42" t="n">
        <f aca="false">IF(AND(AND(Tasks[[#This Row],[_IsLeaf]]=1,Tasks[[#This Row],[_LeafTotalWork]]&gt;0),Tasks[[#This Row],[_Res3Work]]&gt;0),Tasks[[#This Row],[_Res3Work]]/(Tasks[[#This Row],[_FinishWorkday]]-Tasks[[#This Row],[_StartWorkday]]+1),0)</f>
        <v>0</v>
      </c>
      <c r="DY144" s="42" t="n">
        <f aca="false">Tasks[[#This Row],[_Res3WorkPerWD]]*MAX(0,Tasks[[#This Row],[_StartWorkday]]-1)</f>
        <v>0</v>
      </c>
      <c r="DZ144" s="42" t="n">
        <f aca="false">Tasks[[#This Row],[_Res3Work]]*Tasks[[#This Row],[_LeafProgress]]</f>
        <v>0</v>
      </c>
      <c r="EA144" s="42" t="str">
        <f aca="false">IF(Tasks[[#This Row],[_Res4Text]]="","",IF(Tasks[[#This Row],[_Res4Row]]&gt;0,INDEX(res_Name,Tasks[[#This Row],[_Res4Row]]),TRIM(LEFT(Tasks[[#This Row],[_Res4Text]],FIND("[",Tasks[[#This Row],[_Res4Text]]&amp;"[")-1))))</f>
        <v/>
      </c>
      <c r="EB1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4" s="42" t="n">
        <f aca="false">IF(OR(NOT(Tasks[[#This Row],[_IsLeaf]]=1),Tasks[[#This Row],[_Res4Row]]=0),0,N(Tasks[[#This Row],[_Days]])*HoursPerDay*IF(Tasks[[#This Row],[_Res4Units]]="",DefaultUnits,Tasks[[#This Row],[_Res4Units]]))</f>
        <v>0</v>
      </c>
      <c r="ED144" s="42" t="n">
        <f aca="false">IF(AND(AND(Tasks[[#This Row],[_IsLeaf]]=1,Tasks[[#This Row],[_LeafTotalWork]]&gt;0),Tasks[[#This Row],[_Res4Work]]&gt;0),Tasks[[#This Row],[_Res4Work]]/(Tasks[[#This Row],[_FinishWorkday]]-Tasks[[#This Row],[_StartWorkday]]+1),0)</f>
        <v>0</v>
      </c>
      <c r="EE144" s="42" t="n">
        <f aca="false">Tasks[[#This Row],[_Res4WorkPerWD]]*MAX(0,Tasks[[#This Row],[_StartWorkday]]-1)</f>
        <v>0</v>
      </c>
      <c r="EF144" s="42" t="n">
        <f aca="false">Tasks[[#This Row],[_Res4Work]]*Tasks[[#This Row],[_LeafProgress]]</f>
        <v>0</v>
      </c>
      <c r="EG144" s="42" t="n">
        <f aca="false">IF(ISNUMBER(Tasks[[#This Row],[% Complete]]),Tasks[[#This Row],[% Complete]],IF(Tasks[[#This Row],[Stage]]="",0,IFERROR(INDEX(stg_Pct,MATCH(Tasks[[#This Row],[Stage]],stg_Name,0)),0)))</f>
        <v>0</v>
      </c>
      <c r="EH144" s="42" t="n">
        <f aca="false">IF(NOT(Tasks[[#This Row],[_IsLeaf]]=1),0,IF(N(Tasks[[#This Row],[Actual Finish]])&gt;0,1,MIN(1,Tasks[[#This Row],[_Pct]])))</f>
        <v>0</v>
      </c>
      <c r="EI144" s="42" t="n">
        <f aca="false">IF(OR(NOT(Tasks[[#This Row],[_IsLeaf]]=1),Tasks[[#This Row],[_Res1Row]]=0),0,N(Tasks[[#This Row],[_Days]])*HoursPerDay*IF(Tasks[[#This Row],[_Units1]]="",DefaultUnits,Tasks[[#This Row],[_Units1]]))</f>
        <v>0</v>
      </c>
      <c r="EJ144" s="42" t="n">
        <f aca="false">Tasks[[#This Row],[_LeafWork]]+Tasks[[#This Row],[_Res2Work]]+Tasks[[#This Row],[_Res3Work]]+Tasks[[#This Row],[_Res4Work]]</f>
        <v>0</v>
      </c>
      <c r="EK1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4" s="42" t="n">
        <f aca="false">IF(NOT(Tasks[[#This Row],[_IsLeaf]]=1),0,MAX(_xlfn.MAXIFS(Tasks[_Row],Tasks[_Pred1UID],Tasks[[#This Row],[UID]]),_xlfn.MAXIFS(Tasks[_Row],Tasks[_Pred2UID],Tasks[[#This Row],[UID]]),_xlfn.MAXIFS(Tasks[_Row],Tasks[_Pred3UID],Tasks[[#This Row],[UID]]),_xlfn.MAXIFS(Tasks[_Row],Tasks[_Pred4UID],Tasks[[#This Row],[UID]])))</f>
        <v>0</v>
      </c>
      <c r="ET1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4" s="89" t="str">
        <f aca="false">IF(NOT(Tasks[[#This Row],[_IsLeaf]]=1),"",IF(N(Tasks[[#This Row],[_Days]])&lt;=0,Tasks[[#This Row],[_LeafLateFinish]],WORKDAY.INTL(Tasks[[#This Row],[_LeafLateFinish]],-(Tasks[[#This Row],[_Days]]-1),WorkWeek,Holidays)))</f>
        <v/>
      </c>
      <c r="EW1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4" s="88" t="b">
        <f aca="false">AND(Tasks[[#This Row],[_IsLeaf]]=1,Tasks[[#This Row],[_LeafProgress]]&lt;1,N(Tasks[[#This Row],[_LeafTotalSlack]])&lt;=CriticalSlackDays)</f>
        <v>0</v>
      </c>
      <c r="EY144" s="42" t="n">
        <f aca="false">IF(AND(Tasks[[#This Row],[_IsLeaf]]=1,Tasks[[#This Row],[_ConstraintCode]]=1,Tasks[[#This Row],[Mode]]&lt;&gt;"Manual",N(Tasks[[#This Row],[Actual Start]])=0),MAX(0,N(Tasks[[#This Row],[Free Slack]])),0)</f>
        <v>0</v>
      </c>
      <c r="EZ144" s="89" t="str">
        <f aca="false">IF(NOT(Tasks[[#This Row],[_IsLeaf]]=1),"",IF(Tasks[[#This Row],[_AlapShift]]=0,Tasks[[#This Row],[_LeafCalcStart]],WORKDAY.INTL(Tasks[[#This Row],[_LeafCalcStart]],Tasks[[#This Row],[_AlapShift]],WorkWeek,Holidays)))</f>
        <v/>
      </c>
      <c r="FA144" s="89" t="str">
        <f aca="false">IF(NOT(Tasks[[#This Row],[_IsLeaf]]=1),"",IF(Tasks[[#This Row],[_AlapShift]]=0,Tasks[[#This Row],[_LeafCalcFinish]],WORKDAY.INTL(Tasks[[#This Row],[_LeafCalcFinish]],Tasks[[#This Row],[_AlapShift]],WorkWeek,Holidays)))</f>
        <v/>
      </c>
      <c r="FB144" s="89" t="str">
        <f aca="false">IF(NOT(Tasks[[#This Row],[_IsLeaf]]=1),"",IF(Tasks[[#This Row],[_AlapShift]]=0,Tasks[[#This Row],[_LeafFcstStart]],WORKDAY.INTL(Tasks[[#This Row],[_LeafFcstStart]],Tasks[[#This Row],[_AlapShift]],WorkWeek,Holidays)))</f>
        <v/>
      </c>
      <c r="FC144" s="89" t="str">
        <f aca="false">IF(NOT(Tasks[[#This Row],[_IsLeaf]]=1),"",IF(Tasks[[#This Row],[_AlapShift]]=0,Tasks[[#This Row],[_LeafFcstFinish]],WORKDAY.INTL(Tasks[[#This Row],[_LeafFcstFinish]],Tasks[[#This Row],[_AlapShift]],WorkWeek,Holidays)))</f>
        <v/>
      </c>
      <c r="FD144" s="89" t="str">
        <f aca="false">IF(Tasks[[#This Row],[Task Name]]="","",IF(Tasks[[#This Row],[_IsSummary]],MIN(INDEX(Tasks[_ShownCalcStart],Tasks[[#This Row],[_Row]]+1):INDEX(Tasks[_ShownCalcStart],Tasks[[#This Row],[_Row]]+Tasks[[#This Row],[_Descendants]])),Tasks[[#This Row],[_ShownCalcStart]]))</f>
        <v/>
      </c>
      <c r="FE144" s="89" t="str">
        <f aca="false">IF(Tasks[[#This Row],[Task Name]]="","",IF(Tasks[[#This Row],[_IsSummary]],MAX(INDEX(Tasks[_ShownCalcFinish],Tasks[[#This Row],[_Row]]+1):INDEX(Tasks[_ShownCalcFinish],Tasks[[#This Row],[_Row]]+Tasks[[#This Row],[_Descendants]])),Tasks[[#This Row],[_ShownCalcFinish]]))</f>
        <v/>
      </c>
      <c r="FF1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4" s="42" t="n">
        <f aca="false">IF(AND(Tasks[[#This Row],[_IsLeaf]]=1,Tasks[[#This Row],[_LeafTotalWork]]&gt;0),NETWORKDAYS.INTL(ProjectStart,Tasks[[#This Row],[_ShownFcstStart]],WorkWeek,Holidays),0)</f>
        <v>0</v>
      </c>
      <c r="FS144" s="42" t="n">
        <f aca="false">IF(AND(Tasks[[#This Row],[_IsLeaf]]=1,Tasks[[#This Row],[_LeafTotalWork]]&gt;0),MAX(Tasks[[#This Row],[_StartWorkday]],NETWORKDAYS.INTL(ProjectStart,Tasks[[#This Row],[_ShownFcstFinish]],WorkWeek,Holidays)),0)</f>
        <v>0</v>
      </c>
      <c r="FT144" s="42" t="n">
        <f aca="false">IF(AND(Tasks[[#This Row],[_IsLeaf]]=1,Tasks[[#This Row],[_LeafTotalWork]]&gt;0),Tasks[[#This Row],[_LeafWork]]/(Tasks[[#This Row],[_FinishWorkday]]-Tasks[[#This Row],[_StartWorkday]]+1),0)</f>
        <v>0</v>
      </c>
      <c r="FU144" s="42" t="n">
        <f aca="false">Tasks[[#This Row],[_WorkPerWorkday]]*(Tasks[[#This Row],[_StartWorkday]]-1)</f>
        <v>-0</v>
      </c>
      <c r="FV144" s="42" t="n">
        <f aca="false">IF(Tasks[[#This Row],[_IsLeaf]]=1,MAX(N(Tasks[[#This Row],[_Days]]),0.1),0)</f>
        <v>0</v>
      </c>
      <c r="FW144" s="42" t="n">
        <f aca="false">Tasks[[#This Row],[_WeightDur]]*Tasks[[#This Row],[_LeafProgress]]</f>
        <v>0</v>
      </c>
      <c r="FX144" s="42" t="n">
        <f aca="false">Tasks[[#This Row],[_WeightDur]]*Tasks[[#This Row],[_PlannedPct]]</f>
        <v>0</v>
      </c>
      <c r="FY1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4" s="42" t="str">
        <f aca="false">IF(AND(Tasks[[#This Row],[_IsLeaf]]=1,N(Tasks[[#This Row],[_Days]])=0,Tasks[[#This Row],[_LeafProgress]]&lt;1),Tasks[[#This Row],[_ShownFcstFinish]]+Tasks[[#This Row],[_Row]]/100000,"")</f>
        <v/>
      </c>
      <c r="GA1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4" s="42" t="str">
        <f aca="false">IF(Tasks[[#This Row],[Task Name]]="","",LEFT(Tasks[[#This Row],[WBS]],FIND(".",Tasks[[#This Row],[WBS]]&amp;".")-1))</f>
        <v/>
      </c>
      <c r="GC144" s="42" t="str">
        <f aca="false">IF(AND(Tasks[[#This Row],[Task Name]]&lt;&gt;"",Tasks[[#This Row],[_Level]]=1),Tasks[[#This Row],[_Row]],"")</f>
        <v/>
      </c>
      <c r="GD144" s="42" t="str">
        <f aca="false">IF(AND(Tasks[[#This Row],[_IsLeaf]]=1,N(Tasks[[#This Row],[_Days]])=0),Tasks[[#This Row],[Planned Finish]]+Tasks[[#This Row],[_Row]]/100000,"")</f>
        <v/>
      </c>
      <c r="GE144" s="42" t="str">
        <f aca="false">IF(AND(Tasks[[#This Row],[_IsLeaf]]=1,Tasks[[#This Row],[_LeafProgress]]&lt;1,OR(N(Tasks[[#This Row],[Finish Var]])&gt;0,Tasks[[#This Row],[Status]]="Late Start")),MAX(0,Tasks[[#This Row],[Finish Var]])+1-Tasks[[#This Row],[_Row]]/1000000,"")</f>
        <v/>
      </c>
      <c r="GF144" s="42" t="str">
        <f aca="false">IF(AND(Tasks[[#This Row],[_IsLeaf]]=1,N(Tasks[[#This Row],[Actual Start]])=0,Tasks[[#This Row],[_ShownFcstStart]]&gt;=StatusDate,Tasks[[#This Row],[_ShownFcstStart]]&lt;=LookaheadEnd),Tasks[[#This Row],[_ShownFcstStart]]+Tasks[[#This Row],[_Row]]/100000,"")</f>
        <v/>
      </c>
      <c r="GG144" s="42" t="str">
        <f aca="false">IF(AND(Tasks[[#This Row],[_IsLeaf]]=1,Tasks[[#This Row],[_LeafProgress]]&lt;1,Tasks[[#This Row],[_ShownFcstFinish]]&gt;=StatusDate,Tasks[[#This Row],[_ShownFcstFinish]]&lt;=LookaheadEnd),Tasks[[#This Row],[_ShownFcstFinish]]+Tasks[[#This Row],[_Row]]/100000,"")</f>
        <v/>
      </c>
      <c r="GH144" s="42" t="str">
        <f aca="false">IF(Tasks[[#This Row],[_LeafCritical]],Tasks[[#This Row],[_ShownFcstStart]]+Tasks[[#This Row],[_Row]]/100000,"")</f>
        <v/>
      </c>
      <c r="GI144" s="42" t="n">
        <f aca="false">Tasks[[#This Row],[_LeafWork]]*Tasks[[#This Row],[_LeafProgress]]</f>
        <v>0</v>
      </c>
      <c r="GJ144" s="89" t="str">
        <f aca="false">IF(AND(Tasks[[#This Row],[_IsLeaf]]=1,Tasks[[#This Row],[_LeafProgress]]&gt;=1),IF(N(Tasks[[#This Row],[Actual Finish]])&gt;0,Tasks[[#This Row],[Actual Finish]],Tasks[[#This Row],[_ShownFcstFinish]]),"")</f>
        <v/>
      </c>
      <c r="GK144" s="42" t="n">
        <f aca="false">IF(Tasks[[#This Row],[_IsLeaf]]=1,N(Tasks[[#This Row],[Story Points]]),0)</f>
        <v>0</v>
      </c>
      <c r="GL144" s="42" t="str">
        <f aca="false">""</f>
        <v/>
      </c>
      <c r="GM144" s="88" t="b">
        <f aca="false">IF(Tasks[[#This Row],[Task Name]]="",FALSE(),AND(Tasks[[#This Row],[_IsLeaf]]=1,N(Tasks[[#This Row],[_Days]])=0))</f>
        <v>0</v>
      </c>
      <c r="GN144" s="89" t="n">
        <f aca="false">IF(Tasks[[#This Row],[Task Name]]="",0,IF(AND(Tasks[[#This Row],[_IsLeaf]]=1,NOT(Tasks[[#This Row],[_IsMilestone]]),N(Tasks[[#This Row],[Progress]])&gt;0),Tasks[[#This Row],[Start]],0))</f>
        <v>0</v>
      </c>
      <c r="GO144" s="89" t="n">
        <f aca="false">IF(Tasks[[#This Row],[_DoneFrom]]=0,0,IF(Tasks[[#This Row],[Progress]]&gt;=1,Tasks[[#This Row],[Finish]],MAX(Tasks[[#This Row],[_DoneFrom]],Tasks[[#This Row],[Start]]+ROUND((Tasks[[#This Row],[Finish]]-Tasks[[#This Row],[Start]]+1)*Tasks[[#This Row],[Progress]],0)-1)))</f>
        <v>0</v>
      </c>
      <c r="GP144" s="89" t="n">
        <f aca="false">IF(Tasks[[#This Row],[Task Name]]="",0,IF(OR(NOT(Tasks[[#This Row],[_IsLeaf]]=1),Tasks[[#This Row],[_IsMilestone]],N(Tasks[[#This Row],[Progress]])&gt;=1),0,IF(Tasks[[#This Row],[_DoneTo]]&gt;0,Tasks[[#This Row],[_DoneTo]]+1,Tasks[[#This Row],[Start]])))</f>
        <v>0</v>
      </c>
      <c r="GQ144" s="89" t="n">
        <f aca="false">IF(Tasks[[#This Row],[_RemFrom]]=0,0,Tasks[[#This Row],[Finish]])</f>
        <v>0</v>
      </c>
      <c r="GR144" s="88" t="b">
        <f aca="false">IF(Tasks[[#This Row],[Task Name]]="",FALSE(),OR(NOT(BaselineSet),N(Tasks[[#This Row],[Baseline Start]])&gt;0))</f>
        <v>0</v>
      </c>
      <c r="GS1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4" s="90" t="str">
        <f aca="false">IF(Tasks[[#This Row],[_IsLeaf]]=1,Tasks[[#This Row],[_Row]],"")</f>
        <v/>
      </c>
      <c r="GW144" s="90" t="str">
        <f aca="false">IFERROR(INDEX(Tasks[UID],SMALL(Tasks[_PickKey],Tasks[[#This Row],[_Row]]))&amp;" "&amp;INDEX(Tasks[Task Name],SMALL(Tasks[_PickKey],Tasks[[#This Row],[_Row]])),"")</f>
        <v/>
      </c>
      <c r="GX144" s="42" t="str">
        <f aca="false">IF(Tasks[[#This Row],[Task Name]]="","",IF(Tasks[[#This Row],[_IsSummary]],NETWORKDAYS.INTL(Tasks[[#This Row],[Start]],Tasks[[#This Row],[Finish]],WorkWeek,Holidays),N(Tasks[[#This Row],[_Days]])))</f>
        <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3"/>
      <c r="U145" s="23"/>
      <c r="V145" s="83"/>
      <c r="W145" s="23"/>
      <c r="X145" s="83"/>
      <c r="Y145" s="23"/>
      <c r="Z145" s="83"/>
      <c r="AA145" s="23"/>
      <c r="AB145" s="23"/>
      <c r="AC145" s="7"/>
      <c r="AD145" s="7"/>
      <c r="AE145" s="62" t="str">
        <f aca="false">IF(Tasks[[#This Row],[Task Name]]="","",IF(Tasks[[#This Row],[_IsSummary]],MIN(INDEX(Tasks[_ShownFcstStart],Tasks[[#This Row],[_Row]]+1):INDEX(Tasks[_ShownFcstStart],Tasks[[#This Row],[_Row]]+Tasks[[#This Row],[_Descendants]])),Tasks[[#This Row],[_ShownFcstStart]]))</f>
        <v/>
      </c>
      <c r="AF145" s="62"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5" s="7"/>
      <c r="AK145" s="22"/>
      <c r="AL145" s="23"/>
      <c r="AM145" s="7"/>
      <c r="AN145" s="46"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2" t="str">
        <f aca="false">IF(Tasks[[#This Row],[Task Name]]="","",IF(N(Tasks[[#This Row],[Baseline Start]])&gt;0,Tasks[[#This Row],[Baseline Start]],Tasks[[#This Row],[_CalcStart]]))</f>
        <v/>
      </c>
      <c r="AR145" s="62" t="str">
        <f aca="false">IF(Tasks[[#This Row],[Task Name]]="","",IF(N(Tasks[[#This Row],[Baseline Finish]])&gt;0,Tasks[[#This Row],[Baseline Finish]],Tasks[[#This Row],[_CalcFinish]]))</f>
        <v/>
      </c>
      <c r="AS145" s="46" t="str">
        <f aca="false">IF(Tasks[[#This Row],[Task Name]]="","",IF(Tasks[[#This Row],[Start]]&gt;=Tasks[[#This Row],[Planned Start]],NETWORKDAYS.INTL(Tasks[[#This Row],[Planned Start]],Tasks[[#This Row],[Start]],WorkWeek,Holidays)-1,1-NETWORKDAYS.INTL(Tasks[[#This Row],[Start]],Tasks[[#This Row],[Planned Start]],WorkWeek,Holidays)))</f>
        <v/>
      </c>
      <c r="AT145" s="62" t="str">
        <f aca="false">IF(Tasks[[#This Row],[Task Name]]="","",IF(Tasks[[#This Row],[_IsSummary]],MIN(INDEX(Tasks[_LeafLateStart],Tasks[[#This Row],[_Row]]+1):INDEX(Tasks[_LeafLateStart],Tasks[[#This Row],[_Row]]+Tasks[[#This Row],[_Descendants]])),Tasks[[#This Row],[_LeafLateStart]]))</f>
        <v/>
      </c>
      <c r="AU145" s="62" t="str">
        <f aca="false">IF(Tasks[[#This Row],[Task Name]]="","",IF(Tasks[[#This Row],[_IsSummary]],MAX(INDEX(Tasks[_LeafLateFinish],Tasks[[#This Row],[_Row]]+1):INDEX(Tasks[_LeafLateFinish],Tasks[[#This Row],[_Row]]+Tasks[[#This Row],[_Descendants]])),Tasks[[#This Row],[_LeafLateFinish]]))</f>
        <v/>
      </c>
      <c r="AV145" s="46"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4"/>
      <c r="BA1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5"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6"/>
      <c r="BJ145" s="22"/>
      <c r="BK145" s="46" t="str">
        <f aca="false">IF(OR(Tasks[[#This Row],[Task Name]]="",Tasks[[#This Row],[Baseline Duration]]=""),"",Tasks[[#This Row],[_SpanDays]]-N(Tasks[[#This Row],[Baseline Duration]]))</f>
        <v/>
      </c>
      <c r="BL145" s="85" t="str">
        <f aca="false">IF(OR(Tasks[[#This Row],[Task Name]]="",Tasks[[#This Row],[Baseline Work]]=""),"",Tasks[[#This Row],[Work]]-N(Tasks[[#This Row],[Baseline Work]]))</f>
        <v/>
      </c>
      <c r="BM145" s="62" t="str">
        <f aca="false">IF(Tasks[[#This Row],[Task Name]]="","",IF(OR(TakeBaseline="Yes",N(Tasks[[#This Row],[Baseline Start]])=0),Tasks[[#This Row],[Start]],Tasks[[#This Row],[Baseline Start]]))</f>
        <v/>
      </c>
      <c r="BN145" s="62"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5" t="str">
        <f aca="false">IF(Tasks[[#This Row],[Task Name]]="","",IF(OR(TakeBaseline="Yes",N(Tasks[[#This Row],[Baseline Work]])=0),Tasks[[#This Row],[Work]],Tasks[[#This Row],[Baseline Work]]))</f>
        <v/>
      </c>
      <c r="BQ145" s="7"/>
      <c r="BR145" s="7"/>
      <c r="BS145" s="22"/>
      <c r="BT145" s="87"/>
      <c r="BU145" s="42" t="str">
        <f aca="false">IF(Tasks[[#This Row],[Task Name]]="","",MAX(1,N(Tasks[[#This Row],[Level]])))</f>
        <v/>
      </c>
      <c r="BV145" s="42" t="n">
        <f aca="false">ROW()-ROW(Tasks[[#Headers],[ID]])</f>
        <v>140</v>
      </c>
      <c r="BW145" s="42" t="n">
        <f aca="false">IF(OR(Tasks[[#This Row],[Task Name]]="",Tasks[[#This Row],[_Level]]&lt;=1),0,IFERROR(LOOKUP(2,1/(Tasks[[#Headers],[_Level]]:Tasks[[#This Row],[_Level]]=Tasks[[#This Row],[_Level]]-1),ROW(Tasks[[#Headers],[_Level]]:Tasks[[#This Row],[_Level]])),0))</f>
        <v>0</v>
      </c>
      <c r="BX145" s="42" t="n">
        <f aca="false">IFERROR(N(INDEX(Tasks[_Level],Tasks[[#This Row],[_Row]]+1)),0)</f>
        <v>0</v>
      </c>
      <c r="BY145" s="88" t="b">
        <f aca="false">AND(Tasks[[#This Row],[Task Name]]&lt;&gt;"",Tasks[[#This Row],[_NextLevel]]&gt;Tasks[[#This Row],[_Level]])</f>
        <v>0</v>
      </c>
      <c r="BZ145" s="42" t="n">
        <f aca="false">IF(Tasks[[#This Row],[_IsSummary]],COUNTIF(Tasks[WBS],Tasks[[#This Row],[WBS]]&amp;".*"),0)</f>
        <v>0</v>
      </c>
      <c r="CA145" s="42" t="n">
        <f aca="false">IF(AND(Tasks[[#This Row],[Task Name]]&lt;&gt;"",NOT(Tasks[[#This Row],[_IsSummary]])),1,0)</f>
        <v>0</v>
      </c>
      <c r="CB145" s="42" t="n">
        <f aca="false">IF(N(Tasks[[#This Row],[_Pred1UID]])=0,0,IFERROR(MATCH(Tasks[[#This Row],[_Pred1UID]],Tasks[UID],0),-1))</f>
        <v>0</v>
      </c>
      <c r="CC145" s="42" t="n">
        <f aca="false">IF(N(Tasks[[#This Row],[_Pred2UID]])=0,0,IFERROR(MATCH(Tasks[[#This Row],[_Pred2UID]],Tasks[UID],0),-1))</f>
        <v>0</v>
      </c>
      <c r="CD145" s="42" t="n">
        <f aca="false">IF(N(Tasks[[#This Row],[_Pred3UID]])=0,0,IFERROR(MATCH(Tasks[[#This Row],[_Pred3UID]],Tasks[UID],0),-1))</f>
        <v>0</v>
      </c>
      <c r="CE145" s="42" t="n">
        <f aca="false">IF(N(Tasks[[#This Row],[_Pred4UID]])=0,0,IFERROR(MATCH(Tasks[[#This Row],[_Pred4UID]],Tasks[UID],0),-1))</f>
        <v>0</v>
      </c>
      <c r="CF1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5" s="89" t="n">
        <f aca="false">IF(OR(Tasks[[#This Row],[_ConstraintCode]]=2,Tasks[[#This Row],[_ConstraintCode]]=3,Tasks[[#This Row],[_ConstraintCode]]=4,Tasks[[#This Row],[_ConstraintCode]]=6),Tasks[[#This Row],[_ConstraintStart]],0)</f>
        <v>0</v>
      </c>
      <c r="CI145" s="89" t="n">
        <f aca="false">IF(OR(Tasks[[#This Row],[_ConstraintCode]]=2,Tasks[[#This Row],[_ConstraintCode]]=3,Tasks[[#This Row],[_ConstraintCode]]=5,Tasks[[#This Row],[_ConstraintCode]]=7),Tasks[[#This Row],[_ConstraintStart]],2958465)</f>
        <v>2958465</v>
      </c>
      <c r="CJ1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5" s="89" t="str">
        <f aca="false">IF(NOT(Tasks[[#This Row],[_IsLeaf]]=1),"",IF(N(Tasks[[#This Row],[_Days]])&lt;=0,Tasks[[#This Row],[_LeafCalcStart]],WORKDAY.INTL(Tasks[[#This Row],[_LeafCalcStart]],Tasks[[#This Row],[_Days]]-1,WorkWeek,Holidays)))</f>
        <v/>
      </c>
      <c r="CL1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5" s="42" t="str">
        <f aca="false">IF(Tasks[[#This Row],[_Predecessors]]="","",TRIM(MID(SUBSTITUTE(SUBSTITUTE(SUBSTITUTE(UPPER(Tasks[[#This Row],[_Predecessors]]),";",",")," ",""),",",REPT(" ",99)),1,99)))</f>
        <v/>
      </c>
      <c r="CO145" s="42" t="str">
        <f aca="false">IF(Tasks[[#This Row],[_Pred1Text]]="","",IFERROR(VALUE(LEFT(Tasks[[#This Row],[_Pred1Text]],MIN(FIND("F",Tasks[[#This Row],[_Pred1Text]]&amp;"F"),FIND("S",Tasks[[#This Row],[_Pred1Text]]&amp;"S"),FIND("+",Tasks[[#This Row],[_Pred1Text]]&amp;"+"),FIND("-",Tasks[[#This Row],[_Pred1Text]]&amp;"-"))-1)),""))</f>
        <v/>
      </c>
      <c r="CP1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5" s="42" t="str">
        <f aca="false">IF(Tasks[[#This Row],[_Pred1Text]]="","",TRIM(MID(SUBSTITUTE(SUBSTITUTE(SUBSTITUTE(UPPER(Tasks[[#This Row],[_Predecessors]]),";",",")," ",""),",",REPT(" ",99)),100,99)))</f>
        <v/>
      </c>
      <c r="CS145" s="42" t="str">
        <f aca="false">IF(Tasks[[#This Row],[_Pred2Text]]="","",IFERROR(VALUE(LEFT(Tasks[[#This Row],[_Pred2Text]],MIN(FIND("F",Tasks[[#This Row],[_Pred2Text]]&amp;"F"),FIND("S",Tasks[[#This Row],[_Pred2Text]]&amp;"S"),FIND("+",Tasks[[#This Row],[_Pred2Text]]&amp;"+"),FIND("-",Tasks[[#This Row],[_Pred2Text]]&amp;"-"))-1)),""))</f>
        <v/>
      </c>
      <c r="CT1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5" s="42" t="str">
        <f aca="false">IF(Tasks[[#This Row],[_Pred2Text]]="","",TRIM(MID(SUBSTITUTE(SUBSTITUTE(SUBSTITUTE(UPPER(Tasks[[#This Row],[_Predecessors]]),";",",")," ",""),",",REPT(" ",99)),199,99)))</f>
        <v/>
      </c>
      <c r="CW145" s="42" t="str">
        <f aca="false">IF(Tasks[[#This Row],[_Pred3Text]]="","",IFERROR(VALUE(LEFT(Tasks[[#This Row],[_Pred3Text]],MIN(FIND("F",Tasks[[#This Row],[_Pred3Text]]&amp;"F"),FIND("S",Tasks[[#This Row],[_Pred3Text]]&amp;"S"),FIND("+",Tasks[[#This Row],[_Pred3Text]]&amp;"+"),FIND("-",Tasks[[#This Row],[_Pred3Text]]&amp;"-"))-1)),""))</f>
        <v/>
      </c>
      <c r="CX1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5" s="42" t="str">
        <f aca="false">IF(Tasks[[#This Row],[_Pred3Text]]="","",TRIM(MID(SUBSTITUTE(SUBSTITUTE(SUBSTITUTE(UPPER(Tasks[[#This Row],[_Predecessors]]),";",",")," ",""),",",REPT(" ",99)),298,99)))</f>
        <v/>
      </c>
      <c r="DA145" s="42" t="str">
        <f aca="false">IF(Tasks[[#This Row],[_Pred4Text]]="","",IFERROR(VALUE(LEFT(Tasks[[#This Row],[_Pred4Text]],MIN(FIND("F",Tasks[[#This Row],[_Pred4Text]]&amp;"F"),FIND("S",Tasks[[#This Row],[_Pred4Text]]&amp;"S"),FIND("+",Tasks[[#This Row],[_Pred4Text]]&amp;"+"),FIND("-",Tasks[[#This Row],[_Pred4Text]]&amp;"-"))-1)),""))</f>
        <v/>
      </c>
      <c r="DB1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5" s="42" t="str">
        <f aca="false">IF(OR(Tasks[[#This Row],[Task Name]]="",Tasks[[#This Row],[_Resources]]=""),"",TRIM(MID(SUBSTITUTE(Tasks[[#This Row],[_Resources]],",",REPT(" ",99)),1,99)))</f>
        <v/>
      </c>
      <c r="DE145" s="42" t="str">
        <f aca="false">IF(Tasks[[#This Row],[_Res1Text]]="","",TRIM(MID(SUBSTITUTE(Tasks[[#This Row],[_Resources]],",",REPT(" ",99)),100,99)))</f>
        <v/>
      </c>
      <c r="DF145" s="42" t="str">
        <f aca="false">IF(Tasks[[#This Row],[_Res2Text]]="","",TRIM(MID(SUBSTITUTE(Tasks[[#This Row],[_Resources]],",",REPT(" ",99)),199,99)))</f>
        <v/>
      </c>
      <c r="DG145" s="42" t="str">
        <f aca="false">IF(Tasks[[#This Row],[_Res3Text]]="","",TRIM(MID(SUBSTITUTE(Tasks[[#This Row],[_Resources]],",",REPT(" ",99)),298,99)))</f>
        <v/>
      </c>
      <c r="DH145" s="42" t="n">
        <f aca="false">IF(Tasks[[#This Row],[_Res1Text]]="",0,IFERROR(MATCH(TRIM(LEFT(Tasks[[#This Row],[_Res1Text]],FIND("[",Tasks[[#This Row],[_Res1Text]]&amp;"[")-1)),res_Name,0),IFERROR(MATCH(TRIM(LEFT(Tasks[[#This Row],[_Res1Text]],FIND("[",Tasks[[#This Row],[_Res1Text]]&amp;"[")-1)),res_Initials,0),0)))</f>
        <v>0</v>
      </c>
      <c r="DI145" s="42" t="n">
        <f aca="false">IF(Tasks[[#This Row],[_Res2Text]]="",0,IFERROR(MATCH(TRIM(LEFT(Tasks[[#This Row],[_Res2Text]],FIND("[",Tasks[[#This Row],[_Res2Text]]&amp;"[")-1)),res_Name,0),IFERROR(MATCH(TRIM(LEFT(Tasks[[#This Row],[_Res2Text]],FIND("[",Tasks[[#This Row],[_Res2Text]]&amp;"[")-1)),res_Initials,0),0)))</f>
        <v>0</v>
      </c>
      <c r="DJ145" s="42" t="n">
        <f aca="false">IF(Tasks[[#This Row],[_Res3Text]]="",0,IFERROR(MATCH(TRIM(LEFT(Tasks[[#This Row],[_Res3Text]],FIND("[",Tasks[[#This Row],[_Res3Text]]&amp;"[")-1)),res_Name,0),IFERROR(MATCH(TRIM(LEFT(Tasks[[#This Row],[_Res3Text]],FIND("[",Tasks[[#This Row],[_Res3Text]]&amp;"[")-1)),res_Initials,0),0)))</f>
        <v>0</v>
      </c>
      <c r="DK145" s="42" t="n">
        <f aca="false">IF(Tasks[[#This Row],[_Res4Text]]="",0,IFERROR(MATCH(TRIM(LEFT(Tasks[[#This Row],[_Res4Text]],FIND("[",Tasks[[#This Row],[_Res4Text]]&amp;"[")-1)),res_Name,0),IFERROR(MATCH(TRIM(LEFT(Tasks[[#This Row],[_Res4Text]],FIND("[",Tasks[[#This Row],[_Res4Text]]&amp;"[")-1)),res_Initials,0),0)))</f>
        <v>0</v>
      </c>
      <c r="DL145" s="42" t="str">
        <f aca="false">IF(Tasks[[#This Row],[_Res1Text]]="","",IF(Tasks[[#This Row],[_Res1Row]]&gt;0,INDEX(res_Name,Tasks[[#This Row],[_Res1Row]]),TRIM(LEFT(Tasks[[#This Row],[_Res1Text]],FIND("[",Tasks[[#This Row],[_Res1Text]]&amp;"[")-1))))</f>
        <v/>
      </c>
      <c r="DM1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5" s="42" t="n">
        <f aca="false">IF(NOT(Tasks[[#This Row],[_IsLeaf]]=1),0,(Tasks[[#This Row],[_Resource1]]&lt;&gt;"")+(Tasks[[#This Row],[_Res2]]&lt;&gt;"")+(Tasks[[#This Row],[_Res3]]&lt;&gt;"")+(Tasks[[#This Row],[_Res4]]&lt;&gt;""))</f>
        <v>0</v>
      </c>
      <c r="DO145" s="42" t="str">
        <f aca="false">IF(Tasks[[#This Row],[_Res2Text]]="","",IF(Tasks[[#This Row],[_Res2Row]]&gt;0,INDEX(res_Name,Tasks[[#This Row],[_Res2Row]]),TRIM(LEFT(Tasks[[#This Row],[_Res2Text]],FIND("[",Tasks[[#This Row],[_Res2Text]]&amp;"[")-1))))</f>
        <v/>
      </c>
      <c r="DP1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5" s="42" t="n">
        <f aca="false">IF(OR(NOT(Tasks[[#This Row],[_IsLeaf]]=1),Tasks[[#This Row],[_Res2Row]]=0),0,N(Tasks[[#This Row],[_Days]])*HoursPerDay*IF(Tasks[[#This Row],[_Res2Units]]="",DefaultUnits,Tasks[[#This Row],[_Res2Units]]))</f>
        <v>0</v>
      </c>
      <c r="DR145" s="42" t="n">
        <f aca="false">IF(AND(AND(Tasks[[#This Row],[_IsLeaf]]=1,Tasks[[#This Row],[_LeafTotalWork]]&gt;0),Tasks[[#This Row],[_Res2Work]]&gt;0),Tasks[[#This Row],[_Res2Work]]/(Tasks[[#This Row],[_FinishWorkday]]-Tasks[[#This Row],[_StartWorkday]]+1),0)</f>
        <v>0</v>
      </c>
      <c r="DS145" s="42" t="n">
        <f aca="false">Tasks[[#This Row],[_Res2WorkPerWD]]*MAX(0,Tasks[[#This Row],[_StartWorkday]]-1)</f>
        <v>0</v>
      </c>
      <c r="DT145" s="42" t="n">
        <f aca="false">Tasks[[#This Row],[_Res2Work]]*Tasks[[#This Row],[_LeafProgress]]</f>
        <v>0</v>
      </c>
      <c r="DU145" s="42" t="str">
        <f aca="false">IF(Tasks[[#This Row],[_Res3Text]]="","",IF(Tasks[[#This Row],[_Res3Row]]&gt;0,INDEX(res_Name,Tasks[[#This Row],[_Res3Row]]),TRIM(LEFT(Tasks[[#This Row],[_Res3Text]],FIND("[",Tasks[[#This Row],[_Res3Text]]&amp;"[")-1))))</f>
        <v/>
      </c>
      <c r="DV1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5" s="42" t="n">
        <f aca="false">IF(OR(NOT(Tasks[[#This Row],[_IsLeaf]]=1),Tasks[[#This Row],[_Res3Row]]=0),0,N(Tasks[[#This Row],[_Days]])*HoursPerDay*IF(Tasks[[#This Row],[_Res3Units]]="",DefaultUnits,Tasks[[#This Row],[_Res3Units]]))</f>
        <v>0</v>
      </c>
      <c r="DX145" s="42" t="n">
        <f aca="false">IF(AND(AND(Tasks[[#This Row],[_IsLeaf]]=1,Tasks[[#This Row],[_LeafTotalWork]]&gt;0),Tasks[[#This Row],[_Res3Work]]&gt;0),Tasks[[#This Row],[_Res3Work]]/(Tasks[[#This Row],[_FinishWorkday]]-Tasks[[#This Row],[_StartWorkday]]+1),0)</f>
        <v>0</v>
      </c>
      <c r="DY145" s="42" t="n">
        <f aca="false">Tasks[[#This Row],[_Res3WorkPerWD]]*MAX(0,Tasks[[#This Row],[_StartWorkday]]-1)</f>
        <v>0</v>
      </c>
      <c r="DZ145" s="42" t="n">
        <f aca="false">Tasks[[#This Row],[_Res3Work]]*Tasks[[#This Row],[_LeafProgress]]</f>
        <v>0</v>
      </c>
      <c r="EA145" s="42" t="str">
        <f aca="false">IF(Tasks[[#This Row],[_Res4Text]]="","",IF(Tasks[[#This Row],[_Res4Row]]&gt;0,INDEX(res_Name,Tasks[[#This Row],[_Res4Row]]),TRIM(LEFT(Tasks[[#This Row],[_Res4Text]],FIND("[",Tasks[[#This Row],[_Res4Text]]&amp;"[")-1))))</f>
        <v/>
      </c>
      <c r="EB1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5" s="42" t="n">
        <f aca="false">IF(OR(NOT(Tasks[[#This Row],[_IsLeaf]]=1),Tasks[[#This Row],[_Res4Row]]=0),0,N(Tasks[[#This Row],[_Days]])*HoursPerDay*IF(Tasks[[#This Row],[_Res4Units]]="",DefaultUnits,Tasks[[#This Row],[_Res4Units]]))</f>
        <v>0</v>
      </c>
      <c r="ED145" s="42" t="n">
        <f aca="false">IF(AND(AND(Tasks[[#This Row],[_IsLeaf]]=1,Tasks[[#This Row],[_LeafTotalWork]]&gt;0),Tasks[[#This Row],[_Res4Work]]&gt;0),Tasks[[#This Row],[_Res4Work]]/(Tasks[[#This Row],[_FinishWorkday]]-Tasks[[#This Row],[_StartWorkday]]+1),0)</f>
        <v>0</v>
      </c>
      <c r="EE145" s="42" t="n">
        <f aca="false">Tasks[[#This Row],[_Res4WorkPerWD]]*MAX(0,Tasks[[#This Row],[_StartWorkday]]-1)</f>
        <v>0</v>
      </c>
      <c r="EF145" s="42" t="n">
        <f aca="false">Tasks[[#This Row],[_Res4Work]]*Tasks[[#This Row],[_LeafProgress]]</f>
        <v>0</v>
      </c>
      <c r="EG145" s="42" t="n">
        <f aca="false">IF(ISNUMBER(Tasks[[#This Row],[% Complete]]),Tasks[[#This Row],[% Complete]],IF(Tasks[[#This Row],[Stage]]="",0,IFERROR(INDEX(stg_Pct,MATCH(Tasks[[#This Row],[Stage]],stg_Name,0)),0)))</f>
        <v>0</v>
      </c>
      <c r="EH145" s="42" t="n">
        <f aca="false">IF(NOT(Tasks[[#This Row],[_IsLeaf]]=1),0,IF(N(Tasks[[#This Row],[Actual Finish]])&gt;0,1,MIN(1,Tasks[[#This Row],[_Pct]])))</f>
        <v>0</v>
      </c>
      <c r="EI145" s="42" t="n">
        <f aca="false">IF(OR(NOT(Tasks[[#This Row],[_IsLeaf]]=1),Tasks[[#This Row],[_Res1Row]]=0),0,N(Tasks[[#This Row],[_Days]])*HoursPerDay*IF(Tasks[[#This Row],[_Units1]]="",DefaultUnits,Tasks[[#This Row],[_Units1]]))</f>
        <v>0</v>
      </c>
      <c r="EJ145" s="42" t="n">
        <f aca="false">Tasks[[#This Row],[_LeafWork]]+Tasks[[#This Row],[_Res2Work]]+Tasks[[#This Row],[_Res3Work]]+Tasks[[#This Row],[_Res4Work]]</f>
        <v>0</v>
      </c>
      <c r="EK1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5" s="42" t="n">
        <f aca="false">IF(NOT(Tasks[[#This Row],[_IsLeaf]]=1),0,MAX(_xlfn.MAXIFS(Tasks[_Row],Tasks[_Pred1UID],Tasks[[#This Row],[UID]]),_xlfn.MAXIFS(Tasks[_Row],Tasks[_Pred2UID],Tasks[[#This Row],[UID]]),_xlfn.MAXIFS(Tasks[_Row],Tasks[_Pred3UID],Tasks[[#This Row],[UID]]),_xlfn.MAXIFS(Tasks[_Row],Tasks[_Pred4UID],Tasks[[#This Row],[UID]])))</f>
        <v>0</v>
      </c>
      <c r="ET1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5" s="89" t="str">
        <f aca="false">IF(NOT(Tasks[[#This Row],[_IsLeaf]]=1),"",IF(N(Tasks[[#This Row],[_Days]])&lt;=0,Tasks[[#This Row],[_LeafLateFinish]],WORKDAY.INTL(Tasks[[#This Row],[_LeafLateFinish]],-(Tasks[[#This Row],[_Days]]-1),WorkWeek,Holidays)))</f>
        <v/>
      </c>
      <c r="EW1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5" s="88" t="b">
        <f aca="false">AND(Tasks[[#This Row],[_IsLeaf]]=1,Tasks[[#This Row],[_LeafProgress]]&lt;1,N(Tasks[[#This Row],[_LeafTotalSlack]])&lt;=CriticalSlackDays)</f>
        <v>0</v>
      </c>
      <c r="EY145" s="42" t="n">
        <f aca="false">IF(AND(Tasks[[#This Row],[_IsLeaf]]=1,Tasks[[#This Row],[_ConstraintCode]]=1,Tasks[[#This Row],[Mode]]&lt;&gt;"Manual",N(Tasks[[#This Row],[Actual Start]])=0),MAX(0,N(Tasks[[#This Row],[Free Slack]])),0)</f>
        <v>0</v>
      </c>
      <c r="EZ145" s="89" t="str">
        <f aca="false">IF(NOT(Tasks[[#This Row],[_IsLeaf]]=1),"",IF(Tasks[[#This Row],[_AlapShift]]=0,Tasks[[#This Row],[_LeafCalcStart]],WORKDAY.INTL(Tasks[[#This Row],[_LeafCalcStart]],Tasks[[#This Row],[_AlapShift]],WorkWeek,Holidays)))</f>
        <v/>
      </c>
      <c r="FA145" s="89" t="str">
        <f aca="false">IF(NOT(Tasks[[#This Row],[_IsLeaf]]=1),"",IF(Tasks[[#This Row],[_AlapShift]]=0,Tasks[[#This Row],[_LeafCalcFinish]],WORKDAY.INTL(Tasks[[#This Row],[_LeafCalcFinish]],Tasks[[#This Row],[_AlapShift]],WorkWeek,Holidays)))</f>
        <v/>
      </c>
      <c r="FB145" s="89" t="str">
        <f aca="false">IF(NOT(Tasks[[#This Row],[_IsLeaf]]=1),"",IF(Tasks[[#This Row],[_AlapShift]]=0,Tasks[[#This Row],[_LeafFcstStart]],WORKDAY.INTL(Tasks[[#This Row],[_LeafFcstStart]],Tasks[[#This Row],[_AlapShift]],WorkWeek,Holidays)))</f>
        <v/>
      </c>
      <c r="FC145" s="89" t="str">
        <f aca="false">IF(NOT(Tasks[[#This Row],[_IsLeaf]]=1),"",IF(Tasks[[#This Row],[_AlapShift]]=0,Tasks[[#This Row],[_LeafFcstFinish]],WORKDAY.INTL(Tasks[[#This Row],[_LeafFcstFinish]],Tasks[[#This Row],[_AlapShift]],WorkWeek,Holidays)))</f>
        <v/>
      </c>
      <c r="FD145" s="89" t="str">
        <f aca="false">IF(Tasks[[#This Row],[Task Name]]="","",IF(Tasks[[#This Row],[_IsSummary]],MIN(INDEX(Tasks[_ShownCalcStart],Tasks[[#This Row],[_Row]]+1):INDEX(Tasks[_ShownCalcStart],Tasks[[#This Row],[_Row]]+Tasks[[#This Row],[_Descendants]])),Tasks[[#This Row],[_ShownCalcStart]]))</f>
        <v/>
      </c>
      <c r="FE145" s="89" t="str">
        <f aca="false">IF(Tasks[[#This Row],[Task Name]]="","",IF(Tasks[[#This Row],[_IsSummary]],MAX(INDEX(Tasks[_ShownCalcFinish],Tasks[[#This Row],[_Row]]+1):INDEX(Tasks[_ShownCalcFinish],Tasks[[#This Row],[_Row]]+Tasks[[#This Row],[_Descendants]])),Tasks[[#This Row],[_ShownCalcFinish]]))</f>
        <v/>
      </c>
      <c r="FF1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5" s="42" t="n">
        <f aca="false">IF(AND(Tasks[[#This Row],[_IsLeaf]]=1,Tasks[[#This Row],[_LeafTotalWork]]&gt;0),NETWORKDAYS.INTL(ProjectStart,Tasks[[#This Row],[_ShownFcstStart]],WorkWeek,Holidays),0)</f>
        <v>0</v>
      </c>
      <c r="FS145" s="42" t="n">
        <f aca="false">IF(AND(Tasks[[#This Row],[_IsLeaf]]=1,Tasks[[#This Row],[_LeafTotalWork]]&gt;0),MAX(Tasks[[#This Row],[_StartWorkday]],NETWORKDAYS.INTL(ProjectStart,Tasks[[#This Row],[_ShownFcstFinish]],WorkWeek,Holidays)),0)</f>
        <v>0</v>
      </c>
      <c r="FT145" s="42" t="n">
        <f aca="false">IF(AND(Tasks[[#This Row],[_IsLeaf]]=1,Tasks[[#This Row],[_LeafTotalWork]]&gt;0),Tasks[[#This Row],[_LeafWork]]/(Tasks[[#This Row],[_FinishWorkday]]-Tasks[[#This Row],[_StartWorkday]]+1),0)</f>
        <v>0</v>
      </c>
      <c r="FU145" s="42" t="n">
        <f aca="false">Tasks[[#This Row],[_WorkPerWorkday]]*(Tasks[[#This Row],[_StartWorkday]]-1)</f>
        <v>-0</v>
      </c>
      <c r="FV145" s="42" t="n">
        <f aca="false">IF(Tasks[[#This Row],[_IsLeaf]]=1,MAX(N(Tasks[[#This Row],[_Days]]),0.1),0)</f>
        <v>0</v>
      </c>
      <c r="FW145" s="42" t="n">
        <f aca="false">Tasks[[#This Row],[_WeightDur]]*Tasks[[#This Row],[_LeafProgress]]</f>
        <v>0</v>
      </c>
      <c r="FX145" s="42" t="n">
        <f aca="false">Tasks[[#This Row],[_WeightDur]]*Tasks[[#This Row],[_PlannedPct]]</f>
        <v>0</v>
      </c>
      <c r="FY1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5" s="42" t="str">
        <f aca="false">IF(AND(Tasks[[#This Row],[_IsLeaf]]=1,N(Tasks[[#This Row],[_Days]])=0,Tasks[[#This Row],[_LeafProgress]]&lt;1),Tasks[[#This Row],[_ShownFcstFinish]]+Tasks[[#This Row],[_Row]]/100000,"")</f>
        <v/>
      </c>
      <c r="GA1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5" s="42" t="str">
        <f aca="false">IF(Tasks[[#This Row],[Task Name]]="","",LEFT(Tasks[[#This Row],[WBS]],FIND(".",Tasks[[#This Row],[WBS]]&amp;".")-1))</f>
        <v/>
      </c>
      <c r="GC145" s="42" t="str">
        <f aca="false">IF(AND(Tasks[[#This Row],[Task Name]]&lt;&gt;"",Tasks[[#This Row],[_Level]]=1),Tasks[[#This Row],[_Row]],"")</f>
        <v/>
      </c>
      <c r="GD145" s="42" t="str">
        <f aca="false">IF(AND(Tasks[[#This Row],[_IsLeaf]]=1,N(Tasks[[#This Row],[_Days]])=0),Tasks[[#This Row],[Planned Finish]]+Tasks[[#This Row],[_Row]]/100000,"")</f>
        <v/>
      </c>
      <c r="GE145" s="42" t="str">
        <f aca="false">IF(AND(Tasks[[#This Row],[_IsLeaf]]=1,Tasks[[#This Row],[_LeafProgress]]&lt;1,OR(N(Tasks[[#This Row],[Finish Var]])&gt;0,Tasks[[#This Row],[Status]]="Late Start")),MAX(0,Tasks[[#This Row],[Finish Var]])+1-Tasks[[#This Row],[_Row]]/1000000,"")</f>
        <v/>
      </c>
      <c r="GF145" s="42" t="str">
        <f aca="false">IF(AND(Tasks[[#This Row],[_IsLeaf]]=1,N(Tasks[[#This Row],[Actual Start]])=0,Tasks[[#This Row],[_ShownFcstStart]]&gt;=StatusDate,Tasks[[#This Row],[_ShownFcstStart]]&lt;=LookaheadEnd),Tasks[[#This Row],[_ShownFcstStart]]+Tasks[[#This Row],[_Row]]/100000,"")</f>
        <v/>
      </c>
      <c r="GG145" s="42" t="str">
        <f aca="false">IF(AND(Tasks[[#This Row],[_IsLeaf]]=1,Tasks[[#This Row],[_LeafProgress]]&lt;1,Tasks[[#This Row],[_ShownFcstFinish]]&gt;=StatusDate,Tasks[[#This Row],[_ShownFcstFinish]]&lt;=LookaheadEnd),Tasks[[#This Row],[_ShownFcstFinish]]+Tasks[[#This Row],[_Row]]/100000,"")</f>
        <v/>
      </c>
      <c r="GH145" s="42" t="str">
        <f aca="false">IF(Tasks[[#This Row],[_LeafCritical]],Tasks[[#This Row],[_ShownFcstStart]]+Tasks[[#This Row],[_Row]]/100000,"")</f>
        <v/>
      </c>
      <c r="GI145" s="42" t="n">
        <f aca="false">Tasks[[#This Row],[_LeafWork]]*Tasks[[#This Row],[_LeafProgress]]</f>
        <v>0</v>
      </c>
      <c r="GJ145" s="89" t="str">
        <f aca="false">IF(AND(Tasks[[#This Row],[_IsLeaf]]=1,Tasks[[#This Row],[_LeafProgress]]&gt;=1),IF(N(Tasks[[#This Row],[Actual Finish]])&gt;0,Tasks[[#This Row],[Actual Finish]],Tasks[[#This Row],[_ShownFcstFinish]]),"")</f>
        <v/>
      </c>
      <c r="GK145" s="42" t="n">
        <f aca="false">IF(Tasks[[#This Row],[_IsLeaf]]=1,N(Tasks[[#This Row],[Story Points]]),0)</f>
        <v>0</v>
      </c>
      <c r="GL145" s="42" t="str">
        <f aca="false">""</f>
        <v/>
      </c>
      <c r="GM145" s="88" t="b">
        <f aca="false">IF(Tasks[[#This Row],[Task Name]]="",FALSE(),AND(Tasks[[#This Row],[_IsLeaf]]=1,N(Tasks[[#This Row],[_Days]])=0))</f>
        <v>0</v>
      </c>
      <c r="GN145" s="89" t="n">
        <f aca="false">IF(Tasks[[#This Row],[Task Name]]="",0,IF(AND(Tasks[[#This Row],[_IsLeaf]]=1,NOT(Tasks[[#This Row],[_IsMilestone]]),N(Tasks[[#This Row],[Progress]])&gt;0),Tasks[[#This Row],[Start]],0))</f>
        <v>0</v>
      </c>
      <c r="GO145" s="89" t="n">
        <f aca="false">IF(Tasks[[#This Row],[_DoneFrom]]=0,0,IF(Tasks[[#This Row],[Progress]]&gt;=1,Tasks[[#This Row],[Finish]],MAX(Tasks[[#This Row],[_DoneFrom]],Tasks[[#This Row],[Start]]+ROUND((Tasks[[#This Row],[Finish]]-Tasks[[#This Row],[Start]]+1)*Tasks[[#This Row],[Progress]],0)-1)))</f>
        <v>0</v>
      </c>
      <c r="GP145" s="89" t="n">
        <f aca="false">IF(Tasks[[#This Row],[Task Name]]="",0,IF(OR(NOT(Tasks[[#This Row],[_IsLeaf]]=1),Tasks[[#This Row],[_IsMilestone]],N(Tasks[[#This Row],[Progress]])&gt;=1),0,IF(Tasks[[#This Row],[_DoneTo]]&gt;0,Tasks[[#This Row],[_DoneTo]]+1,Tasks[[#This Row],[Start]])))</f>
        <v>0</v>
      </c>
      <c r="GQ145" s="89" t="n">
        <f aca="false">IF(Tasks[[#This Row],[_RemFrom]]=0,0,Tasks[[#This Row],[Finish]])</f>
        <v>0</v>
      </c>
      <c r="GR145" s="88" t="b">
        <f aca="false">IF(Tasks[[#This Row],[Task Name]]="",FALSE(),OR(NOT(BaselineSet),N(Tasks[[#This Row],[Baseline Start]])&gt;0))</f>
        <v>0</v>
      </c>
      <c r="GS1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5" s="90" t="str">
        <f aca="false">IF(Tasks[[#This Row],[_IsLeaf]]=1,Tasks[[#This Row],[_Row]],"")</f>
        <v/>
      </c>
      <c r="GW145" s="90" t="str">
        <f aca="false">IFERROR(INDEX(Tasks[UID],SMALL(Tasks[_PickKey],Tasks[[#This Row],[_Row]]))&amp;" "&amp;INDEX(Tasks[Task Name],SMALL(Tasks[_PickKey],Tasks[[#This Row],[_Row]])),"")</f>
        <v/>
      </c>
      <c r="GX145" s="42" t="str">
        <f aca="false">IF(Tasks[[#This Row],[Task Name]]="","",IF(Tasks[[#This Row],[_IsSummary]],NETWORKDAYS.INTL(Tasks[[#This Row],[Start]],Tasks[[#This Row],[Finish]],WorkWeek,Holidays),N(Tasks[[#This Row],[_Days]])))</f>
        <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3"/>
      <c r="U146" s="23"/>
      <c r="V146" s="83"/>
      <c r="W146" s="23"/>
      <c r="X146" s="83"/>
      <c r="Y146" s="23"/>
      <c r="Z146" s="83"/>
      <c r="AA146" s="23"/>
      <c r="AB146" s="23"/>
      <c r="AC146" s="7"/>
      <c r="AD146" s="7"/>
      <c r="AE146" s="62" t="str">
        <f aca="false">IF(Tasks[[#This Row],[Task Name]]="","",IF(Tasks[[#This Row],[_IsSummary]],MIN(INDEX(Tasks[_ShownFcstStart],Tasks[[#This Row],[_Row]]+1):INDEX(Tasks[_ShownFcstStart],Tasks[[#This Row],[_Row]]+Tasks[[#This Row],[_Descendants]])),Tasks[[#This Row],[_ShownFcstStart]]))</f>
        <v/>
      </c>
      <c r="AF146" s="62"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6" s="7"/>
      <c r="AK146" s="22"/>
      <c r="AL146" s="23"/>
      <c r="AM146" s="7"/>
      <c r="AN146" s="46"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2" t="str">
        <f aca="false">IF(Tasks[[#This Row],[Task Name]]="","",IF(N(Tasks[[#This Row],[Baseline Start]])&gt;0,Tasks[[#This Row],[Baseline Start]],Tasks[[#This Row],[_CalcStart]]))</f>
        <v/>
      </c>
      <c r="AR146" s="62" t="str">
        <f aca="false">IF(Tasks[[#This Row],[Task Name]]="","",IF(N(Tasks[[#This Row],[Baseline Finish]])&gt;0,Tasks[[#This Row],[Baseline Finish]],Tasks[[#This Row],[_CalcFinish]]))</f>
        <v/>
      </c>
      <c r="AS146" s="46" t="str">
        <f aca="false">IF(Tasks[[#This Row],[Task Name]]="","",IF(Tasks[[#This Row],[Start]]&gt;=Tasks[[#This Row],[Planned Start]],NETWORKDAYS.INTL(Tasks[[#This Row],[Planned Start]],Tasks[[#This Row],[Start]],WorkWeek,Holidays)-1,1-NETWORKDAYS.INTL(Tasks[[#This Row],[Start]],Tasks[[#This Row],[Planned Start]],WorkWeek,Holidays)))</f>
        <v/>
      </c>
      <c r="AT146" s="62" t="str">
        <f aca="false">IF(Tasks[[#This Row],[Task Name]]="","",IF(Tasks[[#This Row],[_IsSummary]],MIN(INDEX(Tasks[_LeafLateStart],Tasks[[#This Row],[_Row]]+1):INDEX(Tasks[_LeafLateStart],Tasks[[#This Row],[_Row]]+Tasks[[#This Row],[_Descendants]])),Tasks[[#This Row],[_LeafLateStart]]))</f>
        <v/>
      </c>
      <c r="AU146" s="62" t="str">
        <f aca="false">IF(Tasks[[#This Row],[Task Name]]="","",IF(Tasks[[#This Row],[_IsSummary]],MAX(INDEX(Tasks[_LeafLateFinish],Tasks[[#This Row],[_Row]]+1):INDEX(Tasks[_LeafLateFinish],Tasks[[#This Row],[_Row]]+Tasks[[#This Row],[_Descendants]])),Tasks[[#This Row],[_LeafLateFinish]]))</f>
        <v/>
      </c>
      <c r="AV146" s="46"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4"/>
      <c r="BA1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5"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6"/>
      <c r="BJ146" s="22"/>
      <c r="BK146" s="46" t="str">
        <f aca="false">IF(OR(Tasks[[#This Row],[Task Name]]="",Tasks[[#This Row],[Baseline Duration]]=""),"",Tasks[[#This Row],[_SpanDays]]-N(Tasks[[#This Row],[Baseline Duration]]))</f>
        <v/>
      </c>
      <c r="BL146" s="85" t="str">
        <f aca="false">IF(OR(Tasks[[#This Row],[Task Name]]="",Tasks[[#This Row],[Baseline Work]]=""),"",Tasks[[#This Row],[Work]]-N(Tasks[[#This Row],[Baseline Work]]))</f>
        <v/>
      </c>
      <c r="BM146" s="62" t="str">
        <f aca="false">IF(Tasks[[#This Row],[Task Name]]="","",IF(OR(TakeBaseline="Yes",N(Tasks[[#This Row],[Baseline Start]])=0),Tasks[[#This Row],[Start]],Tasks[[#This Row],[Baseline Start]]))</f>
        <v/>
      </c>
      <c r="BN146" s="62"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5" t="str">
        <f aca="false">IF(Tasks[[#This Row],[Task Name]]="","",IF(OR(TakeBaseline="Yes",N(Tasks[[#This Row],[Baseline Work]])=0),Tasks[[#This Row],[Work]],Tasks[[#This Row],[Baseline Work]]))</f>
        <v/>
      </c>
      <c r="BQ146" s="7"/>
      <c r="BR146" s="7"/>
      <c r="BS146" s="22"/>
      <c r="BT146" s="87"/>
      <c r="BU146" s="42" t="str">
        <f aca="false">IF(Tasks[[#This Row],[Task Name]]="","",MAX(1,N(Tasks[[#This Row],[Level]])))</f>
        <v/>
      </c>
      <c r="BV146" s="42" t="n">
        <f aca="false">ROW()-ROW(Tasks[[#Headers],[ID]])</f>
        <v>141</v>
      </c>
      <c r="BW146" s="42" t="n">
        <f aca="false">IF(OR(Tasks[[#This Row],[Task Name]]="",Tasks[[#This Row],[_Level]]&lt;=1),0,IFERROR(LOOKUP(2,1/(Tasks[[#Headers],[_Level]]:Tasks[[#This Row],[_Level]]=Tasks[[#This Row],[_Level]]-1),ROW(Tasks[[#Headers],[_Level]]:Tasks[[#This Row],[_Level]])),0))</f>
        <v>0</v>
      </c>
      <c r="BX146" s="42" t="n">
        <f aca="false">IFERROR(N(INDEX(Tasks[_Level],Tasks[[#This Row],[_Row]]+1)),0)</f>
        <v>0</v>
      </c>
      <c r="BY146" s="88" t="b">
        <f aca="false">AND(Tasks[[#This Row],[Task Name]]&lt;&gt;"",Tasks[[#This Row],[_NextLevel]]&gt;Tasks[[#This Row],[_Level]])</f>
        <v>0</v>
      </c>
      <c r="BZ146" s="42" t="n">
        <f aca="false">IF(Tasks[[#This Row],[_IsSummary]],COUNTIF(Tasks[WBS],Tasks[[#This Row],[WBS]]&amp;".*"),0)</f>
        <v>0</v>
      </c>
      <c r="CA146" s="42" t="n">
        <f aca="false">IF(AND(Tasks[[#This Row],[Task Name]]&lt;&gt;"",NOT(Tasks[[#This Row],[_IsSummary]])),1,0)</f>
        <v>0</v>
      </c>
      <c r="CB146" s="42" t="n">
        <f aca="false">IF(N(Tasks[[#This Row],[_Pred1UID]])=0,0,IFERROR(MATCH(Tasks[[#This Row],[_Pred1UID]],Tasks[UID],0),-1))</f>
        <v>0</v>
      </c>
      <c r="CC146" s="42" t="n">
        <f aca="false">IF(N(Tasks[[#This Row],[_Pred2UID]])=0,0,IFERROR(MATCH(Tasks[[#This Row],[_Pred2UID]],Tasks[UID],0),-1))</f>
        <v>0</v>
      </c>
      <c r="CD146" s="42" t="n">
        <f aca="false">IF(N(Tasks[[#This Row],[_Pred3UID]])=0,0,IFERROR(MATCH(Tasks[[#This Row],[_Pred3UID]],Tasks[UID],0),-1))</f>
        <v>0</v>
      </c>
      <c r="CE146" s="42" t="n">
        <f aca="false">IF(N(Tasks[[#This Row],[_Pred4UID]])=0,0,IFERROR(MATCH(Tasks[[#This Row],[_Pred4UID]],Tasks[UID],0),-1))</f>
        <v>0</v>
      </c>
      <c r="CF1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6" s="89" t="n">
        <f aca="false">IF(OR(Tasks[[#This Row],[_ConstraintCode]]=2,Tasks[[#This Row],[_ConstraintCode]]=3,Tasks[[#This Row],[_ConstraintCode]]=4,Tasks[[#This Row],[_ConstraintCode]]=6),Tasks[[#This Row],[_ConstraintStart]],0)</f>
        <v>0</v>
      </c>
      <c r="CI146" s="89" t="n">
        <f aca="false">IF(OR(Tasks[[#This Row],[_ConstraintCode]]=2,Tasks[[#This Row],[_ConstraintCode]]=3,Tasks[[#This Row],[_ConstraintCode]]=5,Tasks[[#This Row],[_ConstraintCode]]=7),Tasks[[#This Row],[_ConstraintStart]],2958465)</f>
        <v>2958465</v>
      </c>
      <c r="CJ1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6" s="89" t="str">
        <f aca="false">IF(NOT(Tasks[[#This Row],[_IsLeaf]]=1),"",IF(N(Tasks[[#This Row],[_Days]])&lt;=0,Tasks[[#This Row],[_LeafCalcStart]],WORKDAY.INTL(Tasks[[#This Row],[_LeafCalcStart]],Tasks[[#This Row],[_Days]]-1,WorkWeek,Holidays)))</f>
        <v/>
      </c>
      <c r="CL1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6" s="42" t="str">
        <f aca="false">IF(Tasks[[#This Row],[_Predecessors]]="","",TRIM(MID(SUBSTITUTE(SUBSTITUTE(SUBSTITUTE(UPPER(Tasks[[#This Row],[_Predecessors]]),";",",")," ",""),",",REPT(" ",99)),1,99)))</f>
        <v/>
      </c>
      <c r="CO146" s="42" t="str">
        <f aca="false">IF(Tasks[[#This Row],[_Pred1Text]]="","",IFERROR(VALUE(LEFT(Tasks[[#This Row],[_Pred1Text]],MIN(FIND("F",Tasks[[#This Row],[_Pred1Text]]&amp;"F"),FIND("S",Tasks[[#This Row],[_Pred1Text]]&amp;"S"),FIND("+",Tasks[[#This Row],[_Pred1Text]]&amp;"+"),FIND("-",Tasks[[#This Row],[_Pred1Text]]&amp;"-"))-1)),""))</f>
        <v/>
      </c>
      <c r="CP1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6" s="42" t="str">
        <f aca="false">IF(Tasks[[#This Row],[_Pred1Text]]="","",TRIM(MID(SUBSTITUTE(SUBSTITUTE(SUBSTITUTE(UPPER(Tasks[[#This Row],[_Predecessors]]),";",",")," ",""),",",REPT(" ",99)),100,99)))</f>
        <v/>
      </c>
      <c r="CS146" s="42" t="str">
        <f aca="false">IF(Tasks[[#This Row],[_Pred2Text]]="","",IFERROR(VALUE(LEFT(Tasks[[#This Row],[_Pred2Text]],MIN(FIND("F",Tasks[[#This Row],[_Pred2Text]]&amp;"F"),FIND("S",Tasks[[#This Row],[_Pred2Text]]&amp;"S"),FIND("+",Tasks[[#This Row],[_Pred2Text]]&amp;"+"),FIND("-",Tasks[[#This Row],[_Pred2Text]]&amp;"-"))-1)),""))</f>
        <v/>
      </c>
      <c r="CT1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6" s="42" t="str">
        <f aca="false">IF(Tasks[[#This Row],[_Pred2Text]]="","",TRIM(MID(SUBSTITUTE(SUBSTITUTE(SUBSTITUTE(UPPER(Tasks[[#This Row],[_Predecessors]]),";",",")," ",""),",",REPT(" ",99)),199,99)))</f>
        <v/>
      </c>
      <c r="CW146" s="42" t="str">
        <f aca="false">IF(Tasks[[#This Row],[_Pred3Text]]="","",IFERROR(VALUE(LEFT(Tasks[[#This Row],[_Pred3Text]],MIN(FIND("F",Tasks[[#This Row],[_Pred3Text]]&amp;"F"),FIND("S",Tasks[[#This Row],[_Pred3Text]]&amp;"S"),FIND("+",Tasks[[#This Row],[_Pred3Text]]&amp;"+"),FIND("-",Tasks[[#This Row],[_Pred3Text]]&amp;"-"))-1)),""))</f>
        <v/>
      </c>
      <c r="CX1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6" s="42" t="str">
        <f aca="false">IF(Tasks[[#This Row],[_Pred3Text]]="","",TRIM(MID(SUBSTITUTE(SUBSTITUTE(SUBSTITUTE(UPPER(Tasks[[#This Row],[_Predecessors]]),";",",")," ",""),",",REPT(" ",99)),298,99)))</f>
        <v/>
      </c>
      <c r="DA146" s="42" t="str">
        <f aca="false">IF(Tasks[[#This Row],[_Pred4Text]]="","",IFERROR(VALUE(LEFT(Tasks[[#This Row],[_Pred4Text]],MIN(FIND("F",Tasks[[#This Row],[_Pred4Text]]&amp;"F"),FIND("S",Tasks[[#This Row],[_Pred4Text]]&amp;"S"),FIND("+",Tasks[[#This Row],[_Pred4Text]]&amp;"+"),FIND("-",Tasks[[#This Row],[_Pred4Text]]&amp;"-"))-1)),""))</f>
        <v/>
      </c>
      <c r="DB1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6" s="42" t="str">
        <f aca="false">IF(OR(Tasks[[#This Row],[Task Name]]="",Tasks[[#This Row],[_Resources]]=""),"",TRIM(MID(SUBSTITUTE(Tasks[[#This Row],[_Resources]],",",REPT(" ",99)),1,99)))</f>
        <v/>
      </c>
      <c r="DE146" s="42" t="str">
        <f aca="false">IF(Tasks[[#This Row],[_Res1Text]]="","",TRIM(MID(SUBSTITUTE(Tasks[[#This Row],[_Resources]],",",REPT(" ",99)),100,99)))</f>
        <v/>
      </c>
      <c r="DF146" s="42" t="str">
        <f aca="false">IF(Tasks[[#This Row],[_Res2Text]]="","",TRIM(MID(SUBSTITUTE(Tasks[[#This Row],[_Resources]],",",REPT(" ",99)),199,99)))</f>
        <v/>
      </c>
      <c r="DG146" s="42" t="str">
        <f aca="false">IF(Tasks[[#This Row],[_Res3Text]]="","",TRIM(MID(SUBSTITUTE(Tasks[[#This Row],[_Resources]],",",REPT(" ",99)),298,99)))</f>
        <v/>
      </c>
      <c r="DH146" s="42" t="n">
        <f aca="false">IF(Tasks[[#This Row],[_Res1Text]]="",0,IFERROR(MATCH(TRIM(LEFT(Tasks[[#This Row],[_Res1Text]],FIND("[",Tasks[[#This Row],[_Res1Text]]&amp;"[")-1)),res_Name,0),IFERROR(MATCH(TRIM(LEFT(Tasks[[#This Row],[_Res1Text]],FIND("[",Tasks[[#This Row],[_Res1Text]]&amp;"[")-1)),res_Initials,0),0)))</f>
        <v>0</v>
      </c>
      <c r="DI146" s="42" t="n">
        <f aca="false">IF(Tasks[[#This Row],[_Res2Text]]="",0,IFERROR(MATCH(TRIM(LEFT(Tasks[[#This Row],[_Res2Text]],FIND("[",Tasks[[#This Row],[_Res2Text]]&amp;"[")-1)),res_Name,0),IFERROR(MATCH(TRIM(LEFT(Tasks[[#This Row],[_Res2Text]],FIND("[",Tasks[[#This Row],[_Res2Text]]&amp;"[")-1)),res_Initials,0),0)))</f>
        <v>0</v>
      </c>
      <c r="DJ146" s="42" t="n">
        <f aca="false">IF(Tasks[[#This Row],[_Res3Text]]="",0,IFERROR(MATCH(TRIM(LEFT(Tasks[[#This Row],[_Res3Text]],FIND("[",Tasks[[#This Row],[_Res3Text]]&amp;"[")-1)),res_Name,0),IFERROR(MATCH(TRIM(LEFT(Tasks[[#This Row],[_Res3Text]],FIND("[",Tasks[[#This Row],[_Res3Text]]&amp;"[")-1)),res_Initials,0),0)))</f>
        <v>0</v>
      </c>
      <c r="DK146" s="42" t="n">
        <f aca="false">IF(Tasks[[#This Row],[_Res4Text]]="",0,IFERROR(MATCH(TRIM(LEFT(Tasks[[#This Row],[_Res4Text]],FIND("[",Tasks[[#This Row],[_Res4Text]]&amp;"[")-1)),res_Name,0),IFERROR(MATCH(TRIM(LEFT(Tasks[[#This Row],[_Res4Text]],FIND("[",Tasks[[#This Row],[_Res4Text]]&amp;"[")-1)),res_Initials,0),0)))</f>
        <v>0</v>
      </c>
      <c r="DL146" s="42" t="str">
        <f aca="false">IF(Tasks[[#This Row],[_Res1Text]]="","",IF(Tasks[[#This Row],[_Res1Row]]&gt;0,INDEX(res_Name,Tasks[[#This Row],[_Res1Row]]),TRIM(LEFT(Tasks[[#This Row],[_Res1Text]],FIND("[",Tasks[[#This Row],[_Res1Text]]&amp;"[")-1))))</f>
        <v/>
      </c>
      <c r="DM1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6" s="42" t="n">
        <f aca="false">IF(NOT(Tasks[[#This Row],[_IsLeaf]]=1),0,(Tasks[[#This Row],[_Resource1]]&lt;&gt;"")+(Tasks[[#This Row],[_Res2]]&lt;&gt;"")+(Tasks[[#This Row],[_Res3]]&lt;&gt;"")+(Tasks[[#This Row],[_Res4]]&lt;&gt;""))</f>
        <v>0</v>
      </c>
      <c r="DO146" s="42" t="str">
        <f aca="false">IF(Tasks[[#This Row],[_Res2Text]]="","",IF(Tasks[[#This Row],[_Res2Row]]&gt;0,INDEX(res_Name,Tasks[[#This Row],[_Res2Row]]),TRIM(LEFT(Tasks[[#This Row],[_Res2Text]],FIND("[",Tasks[[#This Row],[_Res2Text]]&amp;"[")-1))))</f>
        <v/>
      </c>
      <c r="DP1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6" s="42" t="n">
        <f aca="false">IF(OR(NOT(Tasks[[#This Row],[_IsLeaf]]=1),Tasks[[#This Row],[_Res2Row]]=0),0,N(Tasks[[#This Row],[_Days]])*HoursPerDay*IF(Tasks[[#This Row],[_Res2Units]]="",DefaultUnits,Tasks[[#This Row],[_Res2Units]]))</f>
        <v>0</v>
      </c>
      <c r="DR146" s="42" t="n">
        <f aca="false">IF(AND(AND(Tasks[[#This Row],[_IsLeaf]]=1,Tasks[[#This Row],[_LeafTotalWork]]&gt;0),Tasks[[#This Row],[_Res2Work]]&gt;0),Tasks[[#This Row],[_Res2Work]]/(Tasks[[#This Row],[_FinishWorkday]]-Tasks[[#This Row],[_StartWorkday]]+1),0)</f>
        <v>0</v>
      </c>
      <c r="DS146" s="42" t="n">
        <f aca="false">Tasks[[#This Row],[_Res2WorkPerWD]]*MAX(0,Tasks[[#This Row],[_StartWorkday]]-1)</f>
        <v>0</v>
      </c>
      <c r="DT146" s="42" t="n">
        <f aca="false">Tasks[[#This Row],[_Res2Work]]*Tasks[[#This Row],[_LeafProgress]]</f>
        <v>0</v>
      </c>
      <c r="DU146" s="42" t="str">
        <f aca="false">IF(Tasks[[#This Row],[_Res3Text]]="","",IF(Tasks[[#This Row],[_Res3Row]]&gt;0,INDEX(res_Name,Tasks[[#This Row],[_Res3Row]]),TRIM(LEFT(Tasks[[#This Row],[_Res3Text]],FIND("[",Tasks[[#This Row],[_Res3Text]]&amp;"[")-1))))</f>
        <v/>
      </c>
      <c r="DV1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6" s="42" t="n">
        <f aca="false">IF(OR(NOT(Tasks[[#This Row],[_IsLeaf]]=1),Tasks[[#This Row],[_Res3Row]]=0),0,N(Tasks[[#This Row],[_Days]])*HoursPerDay*IF(Tasks[[#This Row],[_Res3Units]]="",DefaultUnits,Tasks[[#This Row],[_Res3Units]]))</f>
        <v>0</v>
      </c>
      <c r="DX146" s="42" t="n">
        <f aca="false">IF(AND(AND(Tasks[[#This Row],[_IsLeaf]]=1,Tasks[[#This Row],[_LeafTotalWork]]&gt;0),Tasks[[#This Row],[_Res3Work]]&gt;0),Tasks[[#This Row],[_Res3Work]]/(Tasks[[#This Row],[_FinishWorkday]]-Tasks[[#This Row],[_StartWorkday]]+1),0)</f>
        <v>0</v>
      </c>
      <c r="DY146" s="42" t="n">
        <f aca="false">Tasks[[#This Row],[_Res3WorkPerWD]]*MAX(0,Tasks[[#This Row],[_StartWorkday]]-1)</f>
        <v>0</v>
      </c>
      <c r="DZ146" s="42" t="n">
        <f aca="false">Tasks[[#This Row],[_Res3Work]]*Tasks[[#This Row],[_LeafProgress]]</f>
        <v>0</v>
      </c>
      <c r="EA146" s="42" t="str">
        <f aca="false">IF(Tasks[[#This Row],[_Res4Text]]="","",IF(Tasks[[#This Row],[_Res4Row]]&gt;0,INDEX(res_Name,Tasks[[#This Row],[_Res4Row]]),TRIM(LEFT(Tasks[[#This Row],[_Res4Text]],FIND("[",Tasks[[#This Row],[_Res4Text]]&amp;"[")-1))))</f>
        <v/>
      </c>
      <c r="EB1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6" s="42" t="n">
        <f aca="false">IF(OR(NOT(Tasks[[#This Row],[_IsLeaf]]=1),Tasks[[#This Row],[_Res4Row]]=0),0,N(Tasks[[#This Row],[_Days]])*HoursPerDay*IF(Tasks[[#This Row],[_Res4Units]]="",DefaultUnits,Tasks[[#This Row],[_Res4Units]]))</f>
        <v>0</v>
      </c>
      <c r="ED146" s="42" t="n">
        <f aca="false">IF(AND(AND(Tasks[[#This Row],[_IsLeaf]]=1,Tasks[[#This Row],[_LeafTotalWork]]&gt;0),Tasks[[#This Row],[_Res4Work]]&gt;0),Tasks[[#This Row],[_Res4Work]]/(Tasks[[#This Row],[_FinishWorkday]]-Tasks[[#This Row],[_StartWorkday]]+1),0)</f>
        <v>0</v>
      </c>
      <c r="EE146" s="42" t="n">
        <f aca="false">Tasks[[#This Row],[_Res4WorkPerWD]]*MAX(0,Tasks[[#This Row],[_StartWorkday]]-1)</f>
        <v>0</v>
      </c>
      <c r="EF146" s="42" t="n">
        <f aca="false">Tasks[[#This Row],[_Res4Work]]*Tasks[[#This Row],[_LeafProgress]]</f>
        <v>0</v>
      </c>
      <c r="EG146" s="42" t="n">
        <f aca="false">IF(ISNUMBER(Tasks[[#This Row],[% Complete]]),Tasks[[#This Row],[% Complete]],IF(Tasks[[#This Row],[Stage]]="",0,IFERROR(INDEX(stg_Pct,MATCH(Tasks[[#This Row],[Stage]],stg_Name,0)),0)))</f>
        <v>0</v>
      </c>
      <c r="EH146" s="42" t="n">
        <f aca="false">IF(NOT(Tasks[[#This Row],[_IsLeaf]]=1),0,IF(N(Tasks[[#This Row],[Actual Finish]])&gt;0,1,MIN(1,Tasks[[#This Row],[_Pct]])))</f>
        <v>0</v>
      </c>
      <c r="EI146" s="42" t="n">
        <f aca="false">IF(OR(NOT(Tasks[[#This Row],[_IsLeaf]]=1),Tasks[[#This Row],[_Res1Row]]=0),0,N(Tasks[[#This Row],[_Days]])*HoursPerDay*IF(Tasks[[#This Row],[_Units1]]="",DefaultUnits,Tasks[[#This Row],[_Units1]]))</f>
        <v>0</v>
      </c>
      <c r="EJ146" s="42" t="n">
        <f aca="false">Tasks[[#This Row],[_LeafWork]]+Tasks[[#This Row],[_Res2Work]]+Tasks[[#This Row],[_Res3Work]]+Tasks[[#This Row],[_Res4Work]]</f>
        <v>0</v>
      </c>
      <c r="EK1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6" s="42" t="n">
        <f aca="false">IF(NOT(Tasks[[#This Row],[_IsLeaf]]=1),0,MAX(_xlfn.MAXIFS(Tasks[_Row],Tasks[_Pred1UID],Tasks[[#This Row],[UID]]),_xlfn.MAXIFS(Tasks[_Row],Tasks[_Pred2UID],Tasks[[#This Row],[UID]]),_xlfn.MAXIFS(Tasks[_Row],Tasks[_Pred3UID],Tasks[[#This Row],[UID]]),_xlfn.MAXIFS(Tasks[_Row],Tasks[_Pred4UID],Tasks[[#This Row],[UID]])))</f>
        <v>0</v>
      </c>
      <c r="ET1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6" s="89" t="str">
        <f aca="false">IF(NOT(Tasks[[#This Row],[_IsLeaf]]=1),"",IF(N(Tasks[[#This Row],[_Days]])&lt;=0,Tasks[[#This Row],[_LeafLateFinish]],WORKDAY.INTL(Tasks[[#This Row],[_LeafLateFinish]],-(Tasks[[#This Row],[_Days]]-1),WorkWeek,Holidays)))</f>
        <v/>
      </c>
      <c r="EW1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6" s="88" t="b">
        <f aca="false">AND(Tasks[[#This Row],[_IsLeaf]]=1,Tasks[[#This Row],[_LeafProgress]]&lt;1,N(Tasks[[#This Row],[_LeafTotalSlack]])&lt;=CriticalSlackDays)</f>
        <v>0</v>
      </c>
      <c r="EY146" s="42" t="n">
        <f aca="false">IF(AND(Tasks[[#This Row],[_IsLeaf]]=1,Tasks[[#This Row],[_ConstraintCode]]=1,Tasks[[#This Row],[Mode]]&lt;&gt;"Manual",N(Tasks[[#This Row],[Actual Start]])=0),MAX(0,N(Tasks[[#This Row],[Free Slack]])),0)</f>
        <v>0</v>
      </c>
      <c r="EZ146" s="89" t="str">
        <f aca="false">IF(NOT(Tasks[[#This Row],[_IsLeaf]]=1),"",IF(Tasks[[#This Row],[_AlapShift]]=0,Tasks[[#This Row],[_LeafCalcStart]],WORKDAY.INTL(Tasks[[#This Row],[_LeafCalcStart]],Tasks[[#This Row],[_AlapShift]],WorkWeek,Holidays)))</f>
        <v/>
      </c>
      <c r="FA146" s="89" t="str">
        <f aca="false">IF(NOT(Tasks[[#This Row],[_IsLeaf]]=1),"",IF(Tasks[[#This Row],[_AlapShift]]=0,Tasks[[#This Row],[_LeafCalcFinish]],WORKDAY.INTL(Tasks[[#This Row],[_LeafCalcFinish]],Tasks[[#This Row],[_AlapShift]],WorkWeek,Holidays)))</f>
        <v/>
      </c>
      <c r="FB146" s="89" t="str">
        <f aca="false">IF(NOT(Tasks[[#This Row],[_IsLeaf]]=1),"",IF(Tasks[[#This Row],[_AlapShift]]=0,Tasks[[#This Row],[_LeafFcstStart]],WORKDAY.INTL(Tasks[[#This Row],[_LeafFcstStart]],Tasks[[#This Row],[_AlapShift]],WorkWeek,Holidays)))</f>
        <v/>
      </c>
      <c r="FC146" s="89" t="str">
        <f aca="false">IF(NOT(Tasks[[#This Row],[_IsLeaf]]=1),"",IF(Tasks[[#This Row],[_AlapShift]]=0,Tasks[[#This Row],[_LeafFcstFinish]],WORKDAY.INTL(Tasks[[#This Row],[_LeafFcstFinish]],Tasks[[#This Row],[_AlapShift]],WorkWeek,Holidays)))</f>
        <v/>
      </c>
      <c r="FD146" s="89" t="str">
        <f aca="false">IF(Tasks[[#This Row],[Task Name]]="","",IF(Tasks[[#This Row],[_IsSummary]],MIN(INDEX(Tasks[_ShownCalcStart],Tasks[[#This Row],[_Row]]+1):INDEX(Tasks[_ShownCalcStart],Tasks[[#This Row],[_Row]]+Tasks[[#This Row],[_Descendants]])),Tasks[[#This Row],[_ShownCalcStart]]))</f>
        <v/>
      </c>
      <c r="FE146" s="89" t="str">
        <f aca="false">IF(Tasks[[#This Row],[Task Name]]="","",IF(Tasks[[#This Row],[_IsSummary]],MAX(INDEX(Tasks[_ShownCalcFinish],Tasks[[#This Row],[_Row]]+1):INDEX(Tasks[_ShownCalcFinish],Tasks[[#This Row],[_Row]]+Tasks[[#This Row],[_Descendants]])),Tasks[[#This Row],[_ShownCalcFinish]]))</f>
        <v/>
      </c>
      <c r="FF1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6" s="42" t="n">
        <f aca="false">IF(AND(Tasks[[#This Row],[_IsLeaf]]=1,Tasks[[#This Row],[_LeafTotalWork]]&gt;0),NETWORKDAYS.INTL(ProjectStart,Tasks[[#This Row],[_ShownFcstStart]],WorkWeek,Holidays),0)</f>
        <v>0</v>
      </c>
      <c r="FS146" s="42" t="n">
        <f aca="false">IF(AND(Tasks[[#This Row],[_IsLeaf]]=1,Tasks[[#This Row],[_LeafTotalWork]]&gt;0),MAX(Tasks[[#This Row],[_StartWorkday]],NETWORKDAYS.INTL(ProjectStart,Tasks[[#This Row],[_ShownFcstFinish]],WorkWeek,Holidays)),0)</f>
        <v>0</v>
      </c>
      <c r="FT146" s="42" t="n">
        <f aca="false">IF(AND(Tasks[[#This Row],[_IsLeaf]]=1,Tasks[[#This Row],[_LeafTotalWork]]&gt;0),Tasks[[#This Row],[_LeafWork]]/(Tasks[[#This Row],[_FinishWorkday]]-Tasks[[#This Row],[_StartWorkday]]+1),0)</f>
        <v>0</v>
      </c>
      <c r="FU146" s="42" t="n">
        <f aca="false">Tasks[[#This Row],[_WorkPerWorkday]]*(Tasks[[#This Row],[_StartWorkday]]-1)</f>
        <v>-0</v>
      </c>
      <c r="FV146" s="42" t="n">
        <f aca="false">IF(Tasks[[#This Row],[_IsLeaf]]=1,MAX(N(Tasks[[#This Row],[_Days]]),0.1),0)</f>
        <v>0</v>
      </c>
      <c r="FW146" s="42" t="n">
        <f aca="false">Tasks[[#This Row],[_WeightDur]]*Tasks[[#This Row],[_LeafProgress]]</f>
        <v>0</v>
      </c>
      <c r="FX146" s="42" t="n">
        <f aca="false">Tasks[[#This Row],[_WeightDur]]*Tasks[[#This Row],[_PlannedPct]]</f>
        <v>0</v>
      </c>
      <c r="FY1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6" s="42" t="str">
        <f aca="false">IF(AND(Tasks[[#This Row],[_IsLeaf]]=1,N(Tasks[[#This Row],[_Days]])=0,Tasks[[#This Row],[_LeafProgress]]&lt;1),Tasks[[#This Row],[_ShownFcstFinish]]+Tasks[[#This Row],[_Row]]/100000,"")</f>
        <v/>
      </c>
      <c r="GA1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6" s="42" t="str">
        <f aca="false">IF(Tasks[[#This Row],[Task Name]]="","",LEFT(Tasks[[#This Row],[WBS]],FIND(".",Tasks[[#This Row],[WBS]]&amp;".")-1))</f>
        <v/>
      </c>
      <c r="GC146" s="42" t="str">
        <f aca="false">IF(AND(Tasks[[#This Row],[Task Name]]&lt;&gt;"",Tasks[[#This Row],[_Level]]=1),Tasks[[#This Row],[_Row]],"")</f>
        <v/>
      </c>
      <c r="GD146" s="42" t="str">
        <f aca="false">IF(AND(Tasks[[#This Row],[_IsLeaf]]=1,N(Tasks[[#This Row],[_Days]])=0),Tasks[[#This Row],[Planned Finish]]+Tasks[[#This Row],[_Row]]/100000,"")</f>
        <v/>
      </c>
      <c r="GE146" s="42" t="str">
        <f aca="false">IF(AND(Tasks[[#This Row],[_IsLeaf]]=1,Tasks[[#This Row],[_LeafProgress]]&lt;1,OR(N(Tasks[[#This Row],[Finish Var]])&gt;0,Tasks[[#This Row],[Status]]="Late Start")),MAX(0,Tasks[[#This Row],[Finish Var]])+1-Tasks[[#This Row],[_Row]]/1000000,"")</f>
        <v/>
      </c>
      <c r="GF146" s="42" t="str">
        <f aca="false">IF(AND(Tasks[[#This Row],[_IsLeaf]]=1,N(Tasks[[#This Row],[Actual Start]])=0,Tasks[[#This Row],[_ShownFcstStart]]&gt;=StatusDate,Tasks[[#This Row],[_ShownFcstStart]]&lt;=LookaheadEnd),Tasks[[#This Row],[_ShownFcstStart]]+Tasks[[#This Row],[_Row]]/100000,"")</f>
        <v/>
      </c>
      <c r="GG146" s="42" t="str">
        <f aca="false">IF(AND(Tasks[[#This Row],[_IsLeaf]]=1,Tasks[[#This Row],[_LeafProgress]]&lt;1,Tasks[[#This Row],[_ShownFcstFinish]]&gt;=StatusDate,Tasks[[#This Row],[_ShownFcstFinish]]&lt;=LookaheadEnd),Tasks[[#This Row],[_ShownFcstFinish]]+Tasks[[#This Row],[_Row]]/100000,"")</f>
        <v/>
      </c>
      <c r="GH146" s="42" t="str">
        <f aca="false">IF(Tasks[[#This Row],[_LeafCritical]],Tasks[[#This Row],[_ShownFcstStart]]+Tasks[[#This Row],[_Row]]/100000,"")</f>
        <v/>
      </c>
      <c r="GI146" s="42" t="n">
        <f aca="false">Tasks[[#This Row],[_LeafWork]]*Tasks[[#This Row],[_LeafProgress]]</f>
        <v>0</v>
      </c>
      <c r="GJ146" s="89" t="str">
        <f aca="false">IF(AND(Tasks[[#This Row],[_IsLeaf]]=1,Tasks[[#This Row],[_LeafProgress]]&gt;=1),IF(N(Tasks[[#This Row],[Actual Finish]])&gt;0,Tasks[[#This Row],[Actual Finish]],Tasks[[#This Row],[_ShownFcstFinish]]),"")</f>
        <v/>
      </c>
      <c r="GK146" s="42" t="n">
        <f aca="false">IF(Tasks[[#This Row],[_IsLeaf]]=1,N(Tasks[[#This Row],[Story Points]]),0)</f>
        <v>0</v>
      </c>
      <c r="GL146" s="42" t="str">
        <f aca="false">""</f>
        <v/>
      </c>
      <c r="GM146" s="88" t="b">
        <f aca="false">IF(Tasks[[#This Row],[Task Name]]="",FALSE(),AND(Tasks[[#This Row],[_IsLeaf]]=1,N(Tasks[[#This Row],[_Days]])=0))</f>
        <v>0</v>
      </c>
      <c r="GN146" s="89" t="n">
        <f aca="false">IF(Tasks[[#This Row],[Task Name]]="",0,IF(AND(Tasks[[#This Row],[_IsLeaf]]=1,NOT(Tasks[[#This Row],[_IsMilestone]]),N(Tasks[[#This Row],[Progress]])&gt;0),Tasks[[#This Row],[Start]],0))</f>
        <v>0</v>
      </c>
      <c r="GO146" s="89" t="n">
        <f aca="false">IF(Tasks[[#This Row],[_DoneFrom]]=0,0,IF(Tasks[[#This Row],[Progress]]&gt;=1,Tasks[[#This Row],[Finish]],MAX(Tasks[[#This Row],[_DoneFrom]],Tasks[[#This Row],[Start]]+ROUND((Tasks[[#This Row],[Finish]]-Tasks[[#This Row],[Start]]+1)*Tasks[[#This Row],[Progress]],0)-1)))</f>
        <v>0</v>
      </c>
      <c r="GP146" s="89" t="n">
        <f aca="false">IF(Tasks[[#This Row],[Task Name]]="",0,IF(OR(NOT(Tasks[[#This Row],[_IsLeaf]]=1),Tasks[[#This Row],[_IsMilestone]],N(Tasks[[#This Row],[Progress]])&gt;=1),0,IF(Tasks[[#This Row],[_DoneTo]]&gt;0,Tasks[[#This Row],[_DoneTo]]+1,Tasks[[#This Row],[Start]])))</f>
        <v>0</v>
      </c>
      <c r="GQ146" s="89" t="n">
        <f aca="false">IF(Tasks[[#This Row],[_RemFrom]]=0,0,Tasks[[#This Row],[Finish]])</f>
        <v>0</v>
      </c>
      <c r="GR146" s="88" t="b">
        <f aca="false">IF(Tasks[[#This Row],[Task Name]]="",FALSE(),OR(NOT(BaselineSet),N(Tasks[[#This Row],[Baseline Start]])&gt;0))</f>
        <v>0</v>
      </c>
      <c r="GS1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6" s="90" t="str">
        <f aca="false">IF(Tasks[[#This Row],[_IsLeaf]]=1,Tasks[[#This Row],[_Row]],"")</f>
        <v/>
      </c>
      <c r="GW146" s="90" t="str">
        <f aca="false">IFERROR(INDEX(Tasks[UID],SMALL(Tasks[_PickKey],Tasks[[#This Row],[_Row]]))&amp;" "&amp;INDEX(Tasks[Task Name],SMALL(Tasks[_PickKey],Tasks[[#This Row],[_Row]])),"")</f>
        <v/>
      </c>
      <c r="GX146" s="42" t="str">
        <f aca="false">IF(Tasks[[#This Row],[Task Name]]="","",IF(Tasks[[#This Row],[_IsSummary]],NETWORKDAYS.INTL(Tasks[[#This Row],[Start]],Tasks[[#This Row],[Finish]],WorkWeek,Holidays),N(Tasks[[#This Row],[_Days]])))</f>
        <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3"/>
      <c r="U147" s="23"/>
      <c r="V147" s="83"/>
      <c r="W147" s="23"/>
      <c r="X147" s="83"/>
      <c r="Y147" s="23"/>
      <c r="Z147" s="83"/>
      <c r="AA147" s="23"/>
      <c r="AB147" s="23"/>
      <c r="AC147" s="7"/>
      <c r="AD147" s="7"/>
      <c r="AE147" s="62" t="str">
        <f aca="false">IF(Tasks[[#This Row],[Task Name]]="","",IF(Tasks[[#This Row],[_IsSummary]],MIN(INDEX(Tasks[_ShownFcstStart],Tasks[[#This Row],[_Row]]+1):INDEX(Tasks[_ShownFcstStart],Tasks[[#This Row],[_Row]]+Tasks[[#This Row],[_Descendants]])),Tasks[[#This Row],[_ShownFcstStart]]))</f>
        <v/>
      </c>
      <c r="AF147" s="62"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7" s="7"/>
      <c r="AK147" s="22"/>
      <c r="AL147" s="23"/>
      <c r="AM147" s="7"/>
      <c r="AN147" s="46"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2" t="str">
        <f aca="false">IF(Tasks[[#This Row],[Task Name]]="","",IF(N(Tasks[[#This Row],[Baseline Start]])&gt;0,Tasks[[#This Row],[Baseline Start]],Tasks[[#This Row],[_CalcStart]]))</f>
        <v/>
      </c>
      <c r="AR147" s="62" t="str">
        <f aca="false">IF(Tasks[[#This Row],[Task Name]]="","",IF(N(Tasks[[#This Row],[Baseline Finish]])&gt;0,Tasks[[#This Row],[Baseline Finish]],Tasks[[#This Row],[_CalcFinish]]))</f>
        <v/>
      </c>
      <c r="AS147" s="46" t="str">
        <f aca="false">IF(Tasks[[#This Row],[Task Name]]="","",IF(Tasks[[#This Row],[Start]]&gt;=Tasks[[#This Row],[Planned Start]],NETWORKDAYS.INTL(Tasks[[#This Row],[Planned Start]],Tasks[[#This Row],[Start]],WorkWeek,Holidays)-1,1-NETWORKDAYS.INTL(Tasks[[#This Row],[Start]],Tasks[[#This Row],[Planned Start]],WorkWeek,Holidays)))</f>
        <v/>
      </c>
      <c r="AT147" s="62" t="str">
        <f aca="false">IF(Tasks[[#This Row],[Task Name]]="","",IF(Tasks[[#This Row],[_IsSummary]],MIN(INDEX(Tasks[_LeafLateStart],Tasks[[#This Row],[_Row]]+1):INDEX(Tasks[_LeafLateStart],Tasks[[#This Row],[_Row]]+Tasks[[#This Row],[_Descendants]])),Tasks[[#This Row],[_LeafLateStart]]))</f>
        <v/>
      </c>
      <c r="AU147" s="62" t="str">
        <f aca="false">IF(Tasks[[#This Row],[Task Name]]="","",IF(Tasks[[#This Row],[_IsSummary]],MAX(INDEX(Tasks[_LeafLateFinish],Tasks[[#This Row],[_Row]]+1):INDEX(Tasks[_LeafLateFinish],Tasks[[#This Row],[_Row]]+Tasks[[#This Row],[_Descendants]])),Tasks[[#This Row],[_LeafLateFinish]]))</f>
        <v/>
      </c>
      <c r="AV147" s="46"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4"/>
      <c r="BA1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5"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6"/>
      <c r="BJ147" s="22"/>
      <c r="BK147" s="46" t="str">
        <f aca="false">IF(OR(Tasks[[#This Row],[Task Name]]="",Tasks[[#This Row],[Baseline Duration]]=""),"",Tasks[[#This Row],[_SpanDays]]-N(Tasks[[#This Row],[Baseline Duration]]))</f>
        <v/>
      </c>
      <c r="BL147" s="85" t="str">
        <f aca="false">IF(OR(Tasks[[#This Row],[Task Name]]="",Tasks[[#This Row],[Baseline Work]]=""),"",Tasks[[#This Row],[Work]]-N(Tasks[[#This Row],[Baseline Work]]))</f>
        <v/>
      </c>
      <c r="BM147" s="62" t="str">
        <f aca="false">IF(Tasks[[#This Row],[Task Name]]="","",IF(OR(TakeBaseline="Yes",N(Tasks[[#This Row],[Baseline Start]])=0),Tasks[[#This Row],[Start]],Tasks[[#This Row],[Baseline Start]]))</f>
        <v/>
      </c>
      <c r="BN147" s="62"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5" t="str">
        <f aca="false">IF(Tasks[[#This Row],[Task Name]]="","",IF(OR(TakeBaseline="Yes",N(Tasks[[#This Row],[Baseline Work]])=0),Tasks[[#This Row],[Work]],Tasks[[#This Row],[Baseline Work]]))</f>
        <v/>
      </c>
      <c r="BQ147" s="7"/>
      <c r="BR147" s="7"/>
      <c r="BS147" s="22"/>
      <c r="BT147" s="87"/>
      <c r="BU147" s="42" t="str">
        <f aca="false">IF(Tasks[[#This Row],[Task Name]]="","",MAX(1,N(Tasks[[#This Row],[Level]])))</f>
        <v/>
      </c>
      <c r="BV147" s="42" t="n">
        <f aca="false">ROW()-ROW(Tasks[[#Headers],[ID]])</f>
        <v>142</v>
      </c>
      <c r="BW147" s="42" t="n">
        <f aca="false">IF(OR(Tasks[[#This Row],[Task Name]]="",Tasks[[#This Row],[_Level]]&lt;=1),0,IFERROR(LOOKUP(2,1/(Tasks[[#Headers],[_Level]]:Tasks[[#This Row],[_Level]]=Tasks[[#This Row],[_Level]]-1),ROW(Tasks[[#Headers],[_Level]]:Tasks[[#This Row],[_Level]])),0))</f>
        <v>0</v>
      </c>
      <c r="BX147" s="42" t="n">
        <f aca="false">IFERROR(N(INDEX(Tasks[_Level],Tasks[[#This Row],[_Row]]+1)),0)</f>
        <v>0</v>
      </c>
      <c r="BY147" s="88" t="b">
        <f aca="false">AND(Tasks[[#This Row],[Task Name]]&lt;&gt;"",Tasks[[#This Row],[_NextLevel]]&gt;Tasks[[#This Row],[_Level]])</f>
        <v>0</v>
      </c>
      <c r="BZ147" s="42" t="n">
        <f aca="false">IF(Tasks[[#This Row],[_IsSummary]],COUNTIF(Tasks[WBS],Tasks[[#This Row],[WBS]]&amp;".*"),0)</f>
        <v>0</v>
      </c>
      <c r="CA147" s="42" t="n">
        <f aca="false">IF(AND(Tasks[[#This Row],[Task Name]]&lt;&gt;"",NOT(Tasks[[#This Row],[_IsSummary]])),1,0)</f>
        <v>0</v>
      </c>
      <c r="CB147" s="42" t="n">
        <f aca="false">IF(N(Tasks[[#This Row],[_Pred1UID]])=0,0,IFERROR(MATCH(Tasks[[#This Row],[_Pred1UID]],Tasks[UID],0),-1))</f>
        <v>0</v>
      </c>
      <c r="CC147" s="42" t="n">
        <f aca="false">IF(N(Tasks[[#This Row],[_Pred2UID]])=0,0,IFERROR(MATCH(Tasks[[#This Row],[_Pred2UID]],Tasks[UID],0),-1))</f>
        <v>0</v>
      </c>
      <c r="CD147" s="42" t="n">
        <f aca="false">IF(N(Tasks[[#This Row],[_Pred3UID]])=0,0,IFERROR(MATCH(Tasks[[#This Row],[_Pred3UID]],Tasks[UID],0),-1))</f>
        <v>0</v>
      </c>
      <c r="CE147" s="42" t="n">
        <f aca="false">IF(N(Tasks[[#This Row],[_Pred4UID]])=0,0,IFERROR(MATCH(Tasks[[#This Row],[_Pred4UID]],Tasks[UID],0),-1))</f>
        <v>0</v>
      </c>
      <c r="CF1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7" s="89" t="n">
        <f aca="false">IF(OR(Tasks[[#This Row],[_ConstraintCode]]=2,Tasks[[#This Row],[_ConstraintCode]]=3,Tasks[[#This Row],[_ConstraintCode]]=4,Tasks[[#This Row],[_ConstraintCode]]=6),Tasks[[#This Row],[_ConstraintStart]],0)</f>
        <v>0</v>
      </c>
      <c r="CI147" s="89" t="n">
        <f aca="false">IF(OR(Tasks[[#This Row],[_ConstraintCode]]=2,Tasks[[#This Row],[_ConstraintCode]]=3,Tasks[[#This Row],[_ConstraintCode]]=5,Tasks[[#This Row],[_ConstraintCode]]=7),Tasks[[#This Row],[_ConstraintStart]],2958465)</f>
        <v>2958465</v>
      </c>
      <c r="CJ1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7" s="89" t="str">
        <f aca="false">IF(NOT(Tasks[[#This Row],[_IsLeaf]]=1),"",IF(N(Tasks[[#This Row],[_Days]])&lt;=0,Tasks[[#This Row],[_LeafCalcStart]],WORKDAY.INTL(Tasks[[#This Row],[_LeafCalcStart]],Tasks[[#This Row],[_Days]]-1,WorkWeek,Holidays)))</f>
        <v/>
      </c>
      <c r="CL1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7" s="42" t="str">
        <f aca="false">IF(Tasks[[#This Row],[_Predecessors]]="","",TRIM(MID(SUBSTITUTE(SUBSTITUTE(SUBSTITUTE(UPPER(Tasks[[#This Row],[_Predecessors]]),";",",")," ",""),",",REPT(" ",99)),1,99)))</f>
        <v/>
      </c>
      <c r="CO147" s="42" t="str">
        <f aca="false">IF(Tasks[[#This Row],[_Pred1Text]]="","",IFERROR(VALUE(LEFT(Tasks[[#This Row],[_Pred1Text]],MIN(FIND("F",Tasks[[#This Row],[_Pred1Text]]&amp;"F"),FIND("S",Tasks[[#This Row],[_Pred1Text]]&amp;"S"),FIND("+",Tasks[[#This Row],[_Pred1Text]]&amp;"+"),FIND("-",Tasks[[#This Row],[_Pred1Text]]&amp;"-"))-1)),""))</f>
        <v/>
      </c>
      <c r="CP1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7" s="42" t="str">
        <f aca="false">IF(Tasks[[#This Row],[_Pred1Text]]="","",TRIM(MID(SUBSTITUTE(SUBSTITUTE(SUBSTITUTE(UPPER(Tasks[[#This Row],[_Predecessors]]),";",",")," ",""),",",REPT(" ",99)),100,99)))</f>
        <v/>
      </c>
      <c r="CS147" s="42" t="str">
        <f aca="false">IF(Tasks[[#This Row],[_Pred2Text]]="","",IFERROR(VALUE(LEFT(Tasks[[#This Row],[_Pred2Text]],MIN(FIND("F",Tasks[[#This Row],[_Pred2Text]]&amp;"F"),FIND("S",Tasks[[#This Row],[_Pred2Text]]&amp;"S"),FIND("+",Tasks[[#This Row],[_Pred2Text]]&amp;"+"),FIND("-",Tasks[[#This Row],[_Pred2Text]]&amp;"-"))-1)),""))</f>
        <v/>
      </c>
      <c r="CT1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7" s="42" t="str">
        <f aca="false">IF(Tasks[[#This Row],[_Pred2Text]]="","",TRIM(MID(SUBSTITUTE(SUBSTITUTE(SUBSTITUTE(UPPER(Tasks[[#This Row],[_Predecessors]]),";",",")," ",""),",",REPT(" ",99)),199,99)))</f>
        <v/>
      </c>
      <c r="CW147" s="42" t="str">
        <f aca="false">IF(Tasks[[#This Row],[_Pred3Text]]="","",IFERROR(VALUE(LEFT(Tasks[[#This Row],[_Pred3Text]],MIN(FIND("F",Tasks[[#This Row],[_Pred3Text]]&amp;"F"),FIND("S",Tasks[[#This Row],[_Pred3Text]]&amp;"S"),FIND("+",Tasks[[#This Row],[_Pred3Text]]&amp;"+"),FIND("-",Tasks[[#This Row],[_Pred3Text]]&amp;"-"))-1)),""))</f>
        <v/>
      </c>
      <c r="CX1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7" s="42" t="str">
        <f aca="false">IF(Tasks[[#This Row],[_Pred3Text]]="","",TRIM(MID(SUBSTITUTE(SUBSTITUTE(SUBSTITUTE(UPPER(Tasks[[#This Row],[_Predecessors]]),";",",")," ",""),",",REPT(" ",99)),298,99)))</f>
        <v/>
      </c>
      <c r="DA147" s="42" t="str">
        <f aca="false">IF(Tasks[[#This Row],[_Pred4Text]]="","",IFERROR(VALUE(LEFT(Tasks[[#This Row],[_Pred4Text]],MIN(FIND("F",Tasks[[#This Row],[_Pred4Text]]&amp;"F"),FIND("S",Tasks[[#This Row],[_Pred4Text]]&amp;"S"),FIND("+",Tasks[[#This Row],[_Pred4Text]]&amp;"+"),FIND("-",Tasks[[#This Row],[_Pred4Text]]&amp;"-"))-1)),""))</f>
        <v/>
      </c>
      <c r="DB1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7" s="42" t="str">
        <f aca="false">IF(OR(Tasks[[#This Row],[Task Name]]="",Tasks[[#This Row],[_Resources]]=""),"",TRIM(MID(SUBSTITUTE(Tasks[[#This Row],[_Resources]],",",REPT(" ",99)),1,99)))</f>
        <v/>
      </c>
      <c r="DE147" s="42" t="str">
        <f aca="false">IF(Tasks[[#This Row],[_Res1Text]]="","",TRIM(MID(SUBSTITUTE(Tasks[[#This Row],[_Resources]],",",REPT(" ",99)),100,99)))</f>
        <v/>
      </c>
      <c r="DF147" s="42" t="str">
        <f aca="false">IF(Tasks[[#This Row],[_Res2Text]]="","",TRIM(MID(SUBSTITUTE(Tasks[[#This Row],[_Resources]],",",REPT(" ",99)),199,99)))</f>
        <v/>
      </c>
      <c r="DG147" s="42" t="str">
        <f aca="false">IF(Tasks[[#This Row],[_Res3Text]]="","",TRIM(MID(SUBSTITUTE(Tasks[[#This Row],[_Resources]],",",REPT(" ",99)),298,99)))</f>
        <v/>
      </c>
      <c r="DH147" s="42" t="n">
        <f aca="false">IF(Tasks[[#This Row],[_Res1Text]]="",0,IFERROR(MATCH(TRIM(LEFT(Tasks[[#This Row],[_Res1Text]],FIND("[",Tasks[[#This Row],[_Res1Text]]&amp;"[")-1)),res_Name,0),IFERROR(MATCH(TRIM(LEFT(Tasks[[#This Row],[_Res1Text]],FIND("[",Tasks[[#This Row],[_Res1Text]]&amp;"[")-1)),res_Initials,0),0)))</f>
        <v>0</v>
      </c>
      <c r="DI147" s="42" t="n">
        <f aca="false">IF(Tasks[[#This Row],[_Res2Text]]="",0,IFERROR(MATCH(TRIM(LEFT(Tasks[[#This Row],[_Res2Text]],FIND("[",Tasks[[#This Row],[_Res2Text]]&amp;"[")-1)),res_Name,0),IFERROR(MATCH(TRIM(LEFT(Tasks[[#This Row],[_Res2Text]],FIND("[",Tasks[[#This Row],[_Res2Text]]&amp;"[")-1)),res_Initials,0),0)))</f>
        <v>0</v>
      </c>
      <c r="DJ147" s="42" t="n">
        <f aca="false">IF(Tasks[[#This Row],[_Res3Text]]="",0,IFERROR(MATCH(TRIM(LEFT(Tasks[[#This Row],[_Res3Text]],FIND("[",Tasks[[#This Row],[_Res3Text]]&amp;"[")-1)),res_Name,0),IFERROR(MATCH(TRIM(LEFT(Tasks[[#This Row],[_Res3Text]],FIND("[",Tasks[[#This Row],[_Res3Text]]&amp;"[")-1)),res_Initials,0),0)))</f>
        <v>0</v>
      </c>
      <c r="DK147" s="42" t="n">
        <f aca="false">IF(Tasks[[#This Row],[_Res4Text]]="",0,IFERROR(MATCH(TRIM(LEFT(Tasks[[#This Row],[_Res4Text]],FIND("[",Tasks[[#This Row],[_Res4Text]]&amp;"[")-1)),res_Name,0),IFERROR(MATCH(TRIM(LEFT(Tasks[[#This Row],[_Res4Text]],FIND("[",Tasks[[#This Row],[_Res4Text]]&amp;"[")-1)),res_Initials,0),0)))</f>
        <v>0</v>
      </c>
      <c r="DL147" s="42" t="str">
        <f aca="false">IF(Tasks[[#This Row],[_Res1Text]]="","",IF(Tasks[[#This Row],[_Res1Row]]&gt;0,INDEX(res_Name,Tasks[[#This Row],[_Res1Row]]),TRIM(LEFT(Tasks[[#This Row],[_Res1Text]],FIND("[",Tasks[[#This Row],[_Res1Text]]&amp;"[")-1))))</f>
        <v/>
      </c>
      <c r="DM1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7" s="42" t="n">
        <f aca="false">IF(NOT(Tasks[[#This Row],[_IsLeaf]]=1),0,(Tasks[[#This Row],[_Resource1]]&lt;&gt;"")+(Tasks[[#This Row],[_Res2]]&lt;&gt;"")+(Tasks[[#This Row],[_Res3]]&lt;&gt;"")+(Tasks[[#This Row],[_Res4]]&lt;&gt;""))</f>
        <v>0</v>
      </c>
      <c r="DO147" s="42" t="str">
        <f aca="false">IF(Tasks[[#This Row],[_Res2Text]]="","",IF(Tasks[[#This Row],[_Res2Row]]&gt;0,INDEX(res_Name,Tasks[[#This Row],[_Res2Row]]),TRIM(LEFT(Tasks[[#This Row],[_Res2Text]],FIND("[",Tasks[[#This Row],[_Res2Text]]&amp;"[")-1))))</f>
        <v/>
      </c>
      <c r="DP1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7" s="42" t="n">
        <f aca="false">IF(OR(NOT(Tasks[[#This Row],[_IsLeaf]]=1),Tasks[[#This Row],[_Res2Row]]=0),0,N(Tasks[[#This Row],[_Days]])*HoursPerDay*IF(Tasks[[#This Row],[_Res2Units]]="",DefaultUnits,Tasks[[#This Row],[_Res2Units]]))</f>
        <v>0</v>
      </c>
      <c r="DR147" s="42" t="n">
        <f aca="false">IF(AND(AND(Tasks[[#This Row],[_IsLeaf]]=1,Tasks[[#This Row],[_LeafTotalWork]]&gt;0),Tasks[[#This Row],[_Res2Work]]&gt;0),Tasks[[#This Row],[_Res2Work]]/(Tasks[[#This Row],[_FinishWorkday]]-Tasks[[#This Row],[_StartWorkday]]+1),0)</f>
        <v>0</v>
      </c>
      <c r="DS147" s="42" t="n">
        <f aca="false">Tasks[[#This Row],[_Res2WorkPerWD]]*MAX(0,Tasks[[#This Row],[_StartWorkday]]-1)</f>
        <v>0</v>
      </c>
      <c r="DT147" s="42" t="n">
        <f aca="false">Tasks[[#This Row],[_Res2Work]]*Tasks[[#This Row],[_LeafProgress]]</f>
        <v>0</v>
      </c>
      <c r="DU147" s="42" t="str">
        <f aca="false">IF(Tasks[[#This Row],[_Res3Text]]="","",IF(Tasks[[#This Row],[_Res3Row]]&gt;0,INDEX(res_Name,Tasks[[#This Row],[_Res3Row]]),TRIM(LEFT(Tasks[[#This Row],[_Res3Text]],FIND("[",Tasks[[#This Row],[_Res3Text]]&amp;"[")-1))))</f>
        <v/>
      </c>
      <c r="DV1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7" s="42" t="n">
        <f aca="false">IF(OR(NOT(Tasks[[#This Row],[_IsLeaf]]=1),Tasks[[#This Row],[_Res3Row]]=0),0,N(Tasks[[#This Row],[_Days]])*HoursPerDay*IF(Tasks[[#This Row],[_Res3Units]]="",DefaultUnits,Tasks[[#This Row],[_Res3Units]]))</f>
        <v>0</v>
      </c>
      <c r="DX147" s="42" t="n">
        <f aca="false">IF(AND(AND(Tasks[[#This Row],[_IsLeaf]]=1,Tasks[[#This Row],[_LeafTotalWork]]&gt;0),Tasks[[#This Row],[_Res3Work]]&gt;0),Tasks[[#This Row],[_Res3Work]]/(Tasks[[#This Row],[_FinishWorkday]]-Tasks[[#This Row],[_StartWorkday]]+1),0)</f>
        <v>0</v>
      </c>
      <c r="DY147" s="42" t="n">
        <f aca="false">Tasks[[#This Row],[_Res3WorkPerWD]]*MAX(0,Tasks[[#This Row],[_StartWorkday]]-1)</f>
        <v>0</v>
      </c>
      <c r="DZ147" s="42" t="n">
        <f aca="false">Tasks[[#This Row],[_Res3Work]]*Tasks[[#This Row],[_LeafProgress]]</f>
        <v>0</v>
      </c>
      <c r="EA147" s="42" t="str">
        <f aca="false">IF(Tasks[[#This Row],[_Res4Text]]="","",IF(Tasks[[#This Row],[_Res4Row]]&gt;0,INDEX(res_Name,Tasks[[#This Row],[_Res4Row]]),TRIM(LEFT(Tasks[[#This Row],[_Res4Text]],FIND("[",Tasks[[#This Row],[_Res4Text]]&amp;"[")-1))))</f>
        <v/>
      </c>
      <c r="EB1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7" s="42" t="n">
        <f aca="false">IF(OR(NOT(Tasks[[#This Row],[_IsLeaf]]=1),Tasks[[#This Row],[_Res4Row]]=0),0,N(Tasks[[#This Row],[_Days]])*HoursPerDay*IF(Tasks[[#This Row],[_Res4Units]]="",DefaultUnits,Tasks[[#This Row],[_Res4Units]]))</f>
        <v>0</v>
      </c>
      <c r="ED147" s="42" t="n">
        <f aca="false">IF(AND(AND(Tasks[[#This Row],[_IsLeaf]]=1,Tasks[[#This Row],[_LeafTotalWork]]&gt;0),Tasks[[#This Row],[_Res4Work]]&gt;0),Tasks[[#This Row],[_Res4Work]]/(Tasks[[#This Row],[_FinishWorkday]]-Tasks[[#This Row],[_StartWorkday]]+1),0)</f>
        <v>0</v>
      </c>
      <c r="EE147" s="42" t="n">
        <f aca="false">Tasks[[#This Row],[_Res4WorkPerWD]]*MAX(0,Tasks[[#This Row],[_StartWorkday]]-1)</f>
        <v>0</v>
      </c>
      <c r="EF147" s="42" t="n">
        <f aca="false">Tasks[[#This Row],[_Res4Work]]*Tasks[[#This Row],[_LeafProgress]]</f>
        <v>0</v>
      </c>
      <c r="EG147" s="42" t="n">
        <f aca="false">IF(ISNUMBER(Tasks[[#This Row],[% Complete]]),Tasks[[#This Row],[% Complete]],IF(Tasks[[#This Row],[Stage]]="",0,IFERROR(INDEX(stg_Pct,MATCH(Tasks[[#This Row],[Stage]],stg_Name,0)),0)))</f>
        <v>0</v>
      </c>
      <c r="EH147" s="42" t="n">
        <f aca="false">IF(NOT(Tasks[[#This Row],[_IsLeaf]]=1),0,IF(N(Tasks[[#This Row],[Actual Finish]])&gt;0,1,MIN(1,Tasks[[#This Row],[_Pct]])))</f>
        <v>0</v>
      </c>
      <c r="EI147" s="42" t="n">
        <f aca="false">IF(OR(NOT(Tasks[[#This Row],[_IsLeaf]]=1),Tasks[[#This Row],[_Res1Row]]=0),0,N(Tasks[[#This Row],[_Days]])*HoursPerDay*IF(Tasks[[#This Row],[_Units1]]="",DefaultUnits,Tasks[[#This Row],[_Units1]]))</f>
        <v>0</v>
      </c>
      <c r="EJ147" s="42" t="n">
        <f aca="false">Tasks[[#This Row],[_LeafWork]]+Tasks[[#This Row],[_Res2Work]]+Tasks[[#This Row],[_Res3Work]]+Tasks[[#This Row],[_Res4Work]]</f>
        <v>0</v>
      </c>
      <c r="EK1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7" s="42" t="n">
        <f aca="false">IF(NOT(Tasks[[#This Row],[_IsLeaf]]=1),0,MAX(_xlfn.MAXIFS(Tasks[_Row],Tasks[_Pred1UID],Tasks[[#This Row],[UID]]),_xlfn.MAXIFS(Tasks[_Row],Tasks[_Pred2UID],Tasks[[#This Row],[UID]]),_xlfn.MAXIFS(Tasks[_Row],Tasks[_Pred3UID],Tasks[[#This Row],[UID]]),_xlfn.MAXIFS(Tasks[_Row],Tasks[_Pred4UID],Tasks[[#This Row],[UID]])))</f>
        <v>0</v>
      </c>
      <c r="ET1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7" s="89" t="str">
        <f aca="false">IF(NOT(Tasks[[#This Row],[_IsLeaf]]=1),"",IF(N(Tasks[[#This Row],[_Days]])&lt;=0,Tasks[[#This Row],[_LeafLateFinish]],WORKDAY.INTL(Tasks[[#This Row],[_LeafLateFinish]],-(Tasks[[#This Row],[_Days]]-1),WorkWeek,Holidays)))</f>
        <v/>
      </c>
      <c r="EW1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7" s="88" t="b">
        <f aca="false">AND(Tasks[[#This Row],[_IsLeaf]]=1,Tasks[[#This Row],[_LeafProgress]]&lt;1,N(Tasks[[#This Row],[_LeafTotalSlack]])&lt;=CriticalSlackDays)</f>
        <v>0</v>
      </c>
      <c r="EY147" s="42" t="n">
        <f aca="false">IF(AND(Tasks[[#This Row],[_IsLeaf]]=1,Tasks[[#This Row],[_ConstraintCode]]=1,Tasks[[#This Row],[Mode]]&lt;&gt;"Manual",N(Tasks[[#This Row],[Actual Start]])=0),MAX(0,N(Tasks[[#This Row],[Free Slack]])),0)</f>
        <v>0</v>
      </c>
      <c r="EZ147" s="89" t="str">
        <f aca="false">IF(NOT(Tasks[[#This Row],[_IsLeaf]]=1),"",IF(Tasks[[#This Row],[_AlapShift]]=0,Tasks[[#This Row],[_LeafCalcStart]],WORKDAY.INTL(Tasks[[#This Row],[_LeafCalcStart]],Tasks[[#This Row],[_AlapShift]],WorkWeek,Holidays)))</f>
        <v/>
      </c>
      <c r="FA147" s="89" t="str">
        <f aca="false">IF(NOT(Tasks[[#This Row],[_IsLeaf]]=1),"",IF(Tasks[[#This Row],[_AlapShift]]=0,Tasks[[#This Row],[_LeafCalcFinish]],WORKDAY.INTL(Tasks[[#This Row],[_LeafCalcFinish]],Tasks[[#This Row],[_AlapShift]],WorkWeek,Holidays)))</f>
        <v/>
      </c>
      <c r="FB147" s="89" t="str">
        <f aca="false">IF(NOT(Tasks[[#This Row],[_IsLeaf]]=1),"",IF(Tasks[[#This Row],[_AlapShift]]=0,Tasks[[#This Row],[_LeafFcstStart]],WORKDAY.INTL(Tasks[[#This Row],[_LeafFcstStart]],Tasks[[#This Row],[_AlapShift]],WorkWeek,Holidays)))</f>
        <v/>
      </c>
      <c r="FC147" s="89" t="str">
        <f aca="false">IF(NOT(Tasks[[#This Row],[_IsLeaf]]=1),"",IF(Tasks[[#This Row],[_AlapShift]]=0,Tasks[[#This Row],[_LeafFcstFinish]],WORKDAY.INTL(Tasks[[#This Row],[_LeafFcstFinish]],Tasks[[#This Row],[_AlapShift]],WorkWeek,Holidays)))</f>
        <v/>
      </c>
      <c r="FD147" s="89" t="str">
        <f aca="false">IF(Tasks[[#This Row],[Task Name]]="","",IF(Tasks[[#This Row],[_IsSummary]],MIN(INDEX(Tasks[_ShownCalcStart],Tasks[[#This Row],[_Row]]+1):INDEX(Tasks[_ShownCalcStart],Tasks[[#This Row],[_Row]]+Tasks[[#This Row],[_Descendants]])),Tasks[[#This Row],[_ShownCalcStart]]))</f>
        <v/>
      </c>
      <c r="FE147" s="89" t="str">
        <f aca="false">IF(Tasks[[#This Row],[Task Name]]="","",IF(Tasks[[#This Row],[_IsSummary]],MAX(INDEX(Tasks[_ShownCalcFinish],Tasks[[#This Row],[_Row]]+1):INDEX(Tasks[_ShownCalcFinish],Tasks[[#This Row],[_Row]]+Tasks[[#This Row],[_Descendants]])),Tasks[[#This Row],[_ShownCalcFinish]]))</f>
        <v/>
      </c>
      <c r="FF1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7" s="42" t="n">
        <f aca="false">IF(AND(Tasks[[#This Row],[_IsLeaf]]=1,Tasks[[#This Row],[_LeafTotalWork]]&gt;0),NETWORKDAYS.INTL(ProjectStart,Tasks[[#This Row],[_ShownFcstStart]],WorkWeek,Holidays),0)</f>
        <v>0</v>
      </c>
      <c r="FS147" s="42" t="n">
        <f aca="false">IF(AND(Tasks[[#This Row],[_IsLeaf]]=1,Tasks[[#This Row],[_LeafTotalWork]]&gt;0),MAX(Tasks[[#This Row],[_StartWorkday]],NETWORKDAYS.INTL(ProjectStart,Tasks[[#This Row],[_ShownFcstFinish]],WorkWeek,Holidays)),0)</f>
        <v>0</v>
      </c>
      <c r="FT147" s="42" t="n">
        <f aca="false">IF(AND(Tasks[[#This Row],[_IsLeaf]]=1,Tasks[[#This Row],[_LeafTotalWork]]&gt;0),Tasks[[#This Row],[_LeafWork]]/(Tasks[[#This Row],[_FinishWorkday]]-Tasks[[#This Row],[_StartWorkday]]+1),0)</f>
        <v>0</v>
      </c>
      <c r="FU147" s="42" t="n">
        <f aca="false">Tasks[[#This Row],[_WorkPerWorkday]]*(Tasks[[#This Row],[_StartWorkday]]-1)</f>
        <v>-0</v>
      </c>
      <c r="FV147" s="42" t="n">
        <f aca="false">IF(Tasks[[#This Row],[_IsLeaf]]=1,MAX(N(Tasks[[#This Row],[_Days]]),0.1),0)</f>
        <v>0</v>
      </c>
      <c r="FW147" s="42" t="n">
        <f aca="false">Tasks[[#This Row],[_WeightDur]]*Tasks[[#This Row],[_LeafProgress]]</f>
        <v>0</v>
      </c>
      <c r="FX147" s="42" t="n">
        <f aca="false">Tasks[[#This Row],[_WeightDur]]*Tasks[[#This Row],[_PlannedPct]]</f>
        <v>0</v>
      </c>
      <c r="FY1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7" s="42" t="str">
        <f aca="false">IF(AND(Tasks[[#This Row],[_IsLeaf]]=1,N(Tasks[[#This Row],[_Days]])=0,Tasks[[#This Row],[_LeafProgress]]&lt;1),Tasks[[#This Row],[_ShownFcstFinish]]+Tasks[[#This Row],[_Row]]/100000,"")</f>
        <v/>
      </c>
      <c r="GA1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7" s="42" t="str">
        <f aca="false">IF(Tasks[[#This Row],[Task Name]]="","",LEFT(Tasks[[#This Row],[WBS]],FIND(".",Tasks[[#This Row],[WBS]]&amp;".")-1))</f>
        <v/>
      </c>
      <c r="GC147" s="42" t="str">
        <f aca="false">IF(AND(Tasks[[#This Row],[Task Name]]&lt;&gt;"",Tasks[[#This Row],[_Level]]=1),Tasks[[#This Row],[_Row]],"")</f>
        <v/>
      </c>
      <c r="GD147" s="42" t="str">
        <f aca="false">IF(AND(Tasks[[#This Row],[_IsLeaf]]=1,N(Tasks[[#This Row],[_Days]])=0),Tasks[[#This Row],[Planned Finish]]+Tasks[[#This Row],[_Row]]/100000,"")</f>
        <v/>
      </c>
      <c r="GE147" s="42" t="str">
        <f aca="false">IF(AND(Tasks[[#This Row],[_IsLeaf]]=1,Tasks[[#This Row],[_LeafProgress]]&lt;1,OR(N(Tasks[[#This Row],[Finish Var]])&gt;0,Tasks[[#This Row],[Status]]="Late Start")),MAX(0,Tasks[[#This Row],[Finish Var]])+1-Tasks[[#This Row],[_Row]]/1000000,"")</f>
        <v/>
      </c>
      <c r="GF147" s="42" t="str">
        <f aca="false">IF(AND(Tasks[[#This Row],[_IsLeaf]]=1,N(Tasks[[#This Row],[Actual Start]])=0,Tasks[[#This Row],[_ShownFcstStart]]&gt;=StatusDate,Tasks[[#This Row],[_ShownFcstStart]]&lt;=LookaheadEnd),Tasks[[#This Row],[_ShownFcstStart]]+Tasks[[#This Row],[_Row]]/100000,"")</f>
        <v/>
      </c>
      <c r="GG147" s="42" t="str">
        <f aca="false">IF(AND(Tasks[[#This Row],[_IsLeaf]]=1,Tasks[[#This Row],[_LeafProgress]]&lt;1,Tasks[[#This Row],[_ShownFcstFinish]]&gt;=StatusDate,Tasks[[#This Row],[_ShownFcstFinish]]&lt;=LookaheadEnd),Tasks[[#This Row],[_ShownFcstFinish]]+Tasks[[#This Row],[_Row]]/100000,"")</f>
        <v/>
      </c>
      <c r="GH147" s="42" t="str">
        <f aca="false">IF(Tasks[[#This Row],[_LeafCritical]],Tasks[[#This Row],[_ShownFcstStart]]+Tasks[[#This Row],[_Row]]/100000,"")</f>
        <v/>
      </c>
      <c r="GI147" s="42" t="n">
        <f aca="false">Tasks[[#This Row],[_LeafWork]]*Tasks[[#This Row],[_LeafProgress]]</f>
        <v>0</v>
      </c>
      <c r="GJ147" s="89" t="str">
        <f aca="false">IF(AND(Tasks[[#This Row],[_IsLeaf]]=1,Tasks[[#This Row],[_LeafProgress]]&gt;=1),IF(N(Tasks[[#This Row],[Actual Finish]])&gt;0,Tasks[[#This Row],[Actual Finish]],Tasks[[#This Row],[_ShownFcstFinish]]),"")</f>
        <v/>
      </c>
      <c r="GK147" s="42" t="n">
        <f aca="false">IF(Tasks[[#This Row],[_IsLeaf]]=1,N(Tasks[[#This Row],[Story Points]]),0)</f>
        <v>0</v>
      </c>
      <c r="GL147" s="42" t="str">
        <f aca="false">""</f>
        <v/>
      </c>
      <c r="GM147" s="88" t="b">
        <f aca="false">IF(Tasks[[#This Row],[Task Name]]="",FALSE(),AND(Tasks[[#This Row],[_IsLeaf]]=1,N(Tasks[[#This Row],[_Days]])=0))</f>
        <v>0</v>
      </c>
      <c r="GN147" s="89" t="n">
        <f aca="false">IF(Tasks[[#This Row],[Task Name]]="",0,IF(AND(Tasks[[#This Row],[_IsLeaf]]=1,NOT(Tasks[[#This Row],[_IsMilestone]]),N(Tasks[[#This Row],[Progress]])&gt;0),Tasks[[#This Row],[Start]],0))</f>
        <v>0</v>
      </c>
      <c r="GO147" s="89" t="n">
        <f aca="false">IF(Tasks[[#This Row],[_DoneFrom]]=0,0,IF(Tasks[[#This Row],[Progress]]&gt;=1,Tasks[[#This Row],[Finish]],MAX(Tasks[[#This Row],[_DoneFrom]],Tasks[[#This Row],[Start]]+ROUND((Tasks[[#This Row],[Finish]]-Tasks[[#This Row],[Start]]+1)*Tasks[[#This Row],[Progress]],0)-1)))</f>
        <v>0</v>
      </c>
      <c r="GP147" s="89" t="n">
        <f aca="false">IF(Tasks[[#This Row],[Task Name]]="",0,IF(OR(NOT(Tasks[[#This Row],[_IsLeaf]]=1),Tasks[[#This Row],[_IsMilestone]],N(Tasks[[#This Row],[Progress]])&gt;=1),0,IF(Tasks[[#This Row],[_DoneTo]]&gt;0,Tasks[[#This Row],[_DoneTo]]+1,Tasks[[#This Row],[Start]])))</f>
        <v>0</v>
      </c>
      <c r="GQ147" s="89" t="n">
        <f aca="false">IF(Tasks[[#This Row],[_RemFrom]]=0,0,Tasks[[#This Row],[Finish]])</f>
        <v>0</v>
      </c>
      <c r="GR147" s="88" t="b">
        <f aca="false">IF(Tasks[[#This Row],[Task Name]]="",FALSE(),OR(NOT(BaselineSet),N(Tasks[[#This Row],[Baseline Start]])&gt;0))</f>
        <v>0</v>
      </c>
      <c r="GS1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7" s="90" t="str">
        <f aca="false">IF(Tasks[[#This Row],[_IsLeaf]]=1,Tasks[[#This Row],[_Row]],"")</f>
        <v/>
      </c>
      <c r="GW147" s="90" t="str">
        <f aca="false">IFERROR(INDEX(Tasks[UID],SMALL(Tasks[_PickKey],Tasks[[#This Row],[_Row]]))&amp;" "&amp;INDEX(Tasks[Task Name],SMALL(Tasks[_PickKey],Tasks[[#This Row],[_Row]])),"")</f>
        <v/>
      </c>
      <c r="GX147" s="42" t="str">
        <f aca="false">IF(Tasks[[#This Row],[Task Name]]="","",IF(Tasks[[#This Row],[_IsSummary]],NETWORKDAYS.INTL(Tasks[[#This Row],[Start]],Tasks[[#This Row],[Finish]],WorkWeek,Holidays),N(Tasks[[#This Row],[_Days]])))</f>
        <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3"/>
      <c r="U148" s="23"/>
      <c r="V148" s="83"/>
      <c r="W148" s="23"/>
      <c r="X148" s="83"/>
      <c r="Y148" s="23"/>
      <c r="Z148" s="83"/>
      <c r="AA148" s="23"/>
      <c r="AB148" s="23"/>
      <c r="AC148" s="7"/>
      <c r="AD148" s="7"/>
      <c r="AE148" s="62" t="str">
        <f aca="false">IF(Tasks[[#This Row],[Task Name]]="","",IF(Tasks[[#This Row],[_IsSummary]],MIN(INDEX(Tasks[_ShownFcstStart],Tasks[[#This Row],[_Row]]+1):INDEX(Tasks[_ShownFcstStart],Tasks[[#This Row],[_Row]]+Tasks[[#This Row],[_Descendants]])),Tasks[[#This Row],[_ShownFcstStart]]))</f>
        <v/>
      </c>
      <c r="AF148" s="62"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8" s="7"/>
      <c r="AK148" s="22"/>
      <c r="AL148" s="23"/>
      <c r="AM148" s="7"/>
      <c r="AN148" s="46"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2" t="str">
        <f aca="false">IF(Tasks[[#This Row],[Task Name]]="","",IF(N(Tasks[[#This Row],[Baseline Start]])&gt;0,Tasks[[#This Row],[Baseline Start]],Tasks[[#This Row],[_CalcStart]]))</f>
        <v/>
      </c>
      <c r="AR148" s="62" t="str">
        <f aca="false">IF(Tasks[[#This Row],[Task Name]]="","",IF(N(Tasks[[#This Row],[Baseline Finish]])&gt;0,Tasks[[#This Row],[Baseline Finish]],Tasks[[#This Row],[_CalcFinish]]))</f>
        <v/>
      </c>
      <c r="AS148" s="46" t="str">
        <f aca="false">IF(Tasks[[#This Row],[Task Name]]="","",IF(Tasks[[#This Row],[Start]]&gt;=Tasks[[#This Row],[Planned Start]],NETWORKDAYS.INTL(Tasks[[#This Row],[Planned Start]],Tasks[[#This Row],[Start]],WorkWeek,Holidays)-1,1-NETWORKDAYS.INTL(Tasks[[#This Row],[Start]],Tasks[[#This Row],[Planned Start]],WorkWeek,Holidays)))</f>
        <v/>
      </c>
      <c r="AT148" s="62" t="str">
        <f aca="false">IF(Tasks[[#This Row],[Task Name]]="","",IF(Tasks[[#This Row],[_IsSummary]],MIN(INDEX(Tasks[_LeafLateStart],Tasks[[#This Row],[_Row]]+1):INDEX(Tasks[_LeafLateStart],Tasks[[#This Row],[_Row]]+Tasks[[#This Row],[_Descendants]])),Tasks[[#This Row],[_LeafLateStart]]))</f>
        <v/>
      </c>
      <c r="AU148" s="62" t="str">
        <f aca="false">IF(Tasks[[#This Row],[Task Name]]="","",IF(Tasks[[#This Row],[_IsSummary]],MAX(INDEX(Tasks[_LeafLateFinish],Tasks[[#This Row],[_Row]]+1):INDEX(Tasks[_LeafLateFinish],Tasks[[#This Row],[_Row]]+Tasks[[#This Row],[_Descendants]])),Tasks[[#This Row],[_LeafLateFinish]]))</f>
        <v/>
      </c>
      <c r="AV148" s="46"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4"/>
      <c r="BA1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5"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6"/>
      <c r="BJ148" s="22"/>
      <c r="BK148" s="46" t="str">
        <f aca="false">IF(OR(Tasks[[#This Row],[Task Name]]="",Tasks[[#This Row],[Baseline Duration]]=""),"",Tasks[[#This Row],[_SpanDays]]-N(Tasks[[#This Row],[Baseline Duration]]))</f>
        <v/>
      </c>
      <c r="BL148" s="85" t="str">
        <f aca="false">IF(OR(Tasks[[#This Row],[Task Name]]="",Tasks[[#This Row],[Baseline Work]]=""),"",Tasks[[#This Row],[Work]]-N(Tasks[[#This Row],[Baseline Work]]))</f>
        <v/>
      </c>
      <c r="BM148" s="62" t="str">
        <f aca="false">IF(Tasks[[#This Row],[Task Name]]="","",IF(OR(TakeBaseline="Yes",N(Tasks[[#This Row],[Baseline Start]])=0),Tasks[[#This Row],[Start]],Tasks[[#This Row],[Baseline Start]]))</f>
        <v/>
      </c>
      <c r="BN148" s="62"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5" t="str">
        <f aca="false">IF(Tasks[[#This Row],[Task Name]]="","",IF(OR(TakeBaseline="Yes",N(Tasks[[#This Row],[Baseline Work]])=0),Tasks[[#This Row],[Work]],Tasks[[#This Row],[Baseline Work]]))</f>
        <v/>
      </c>
      <c r="BQ148" s="7"/>
      <c r="BR148" s="7"/>
      <c r="BS148" s="22"/>
      <c r="BT148" s="87"/>
      <c r="BU148" s="42" t="str">
        <f aca="false">IF(Tasks[[#This Row],[Task Name]]="","",MAX(1,N(Tasks[[#This Row],[Level]])))</f>
        <v/>
      </c>
      <c r="BV148" s="42" t="n">
        <f aca="false">ROW()-ROW(Tasks[[#Headers],[ID]])</f>
        <v>143</v>
      </c>
      <c r="BW148" s="42" t="n">
        <f aca="false">IF(OR(Tasks[[#This Row],[Task Name]]="",Tasks[[#This Row],[_Level]]&lt;=1),0,IFERROR(LOOKUP(2,1/(Tasks[[#Headers],[_Level]]:Tasks[[#This Row],[_Level]]=Tasks[[#This Row],[_Level]]-1),ROW(Tasks[[#Headers],[_Level]]:Tasks[[#This Row],[_Level]])),0))</f>
        <v>0</v>
      </c>
      <c r="BX148" s="42" t="n">
        <f aca="false">IFERROR(N(INDEX(Tasks[_Level],Tasks[[#This Row],[_Row]]+1)),0)</f>
        <v>0</v>
      </c>
      <c r="BY148" s="88" t="b">
        <f aca="false">AND(Tasks[[#This Row],[Task Name]]&lt;&gt;"",Tasks[[#This Row],[_NextLevel]]&gt;Tasks[[#This Row],[_Level]])</f>
        <v>0</v>
      </c>
      <c r="BZ148" s="42" t="n">
        <f aca="false">IF(Tasks[[#This Row],[_IsSummary]],COUNTIF(Tasks[WBS],Tasks[[#This Row],[WBS]]&amp;".*"),0)</f>
        <v>0</v>
      </c>
      <c r="CA148" s="42" t="n">
        <f aca="false">IF(AND(Tasks[[#This Row],[Task Name]]&lt;&gt;"",NOT(Tasks[[#This Row],[_IsSummary]])),1,0)</f>
        <v>0</v>
      </c>
      <c r="CB148" s="42" t="n">
        <f aca="false">IF(N(Tasks[[#This Row],[_Pred1UID]])=0,0,IFERROR(MATCH(Tasks[[#This Row],[_Pred1UID]],Tasks[UID],0),-1))</f>
        <v>0</v>
      </c>
      <c r="CC148" s="42" t="n">
        <f aca="false">IF(N(Tasks[[#This Row],[_Pred2UID]])=0,0,IFERROR(MATCH(Tasks[[#This Row],[_Pred2UID]],Tasks[UID],0),-1))</f>
        <v>0</v>
      </c>
      <c r="CD148" s="42" t="n">
        <f aca="false">IF(N(Tasks[[#This Row],[_Pred3UID]])=0,0,IFERROR(MATCH(Tasks[[#This Row],[_Pred3UID]],Tasks[UID],0),-1))</f>
        <v>0</v>
      </c>
      <c r="CE148" s="42" t="n">
        <f aca="false">IF(N(Tasks[[#This Row],[_Pred4UID]])=0,0,IFERROR(MATCH(Tasks[[#This Row],[_Pred4UID]],Tasks[UID],0),-1))</f>
        <v>0</v>
      </c>
      <c r="CF1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8" s="89" t="n">
        <f aca="false">IF(OR(Tasks[[#This Row],[_ConstraintCode]]=2,Tasks[[#This Row],[_ConstraintCode]]=3,Tasks[[#This Row],[_ConstraintCode]]=4,Tasks[[#This Row],[_ConstraintCode]]=6),Tasks[[#This Row],[_ConstraintStart]],0)</f>
        <v>0</v>
      </c>
      <c r="CI148" s="89" t="n">
        <f aca="false">IF(OR(Tasks[[#This Row],[_ConstraintCode]]=2,Tasks[[#This Row],[_ConstraintCode]]=3,Tasks[[#This Row],[_ConstraintCode]]=5,Tasks[[#This Row],[_ConstraintCode]]=7),Tasks[[#This Row],[_ConstraintStart]],2958465)</f>
        <v>2958465</v>
      </c>
      <c r="CJ1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8" s="89" t="str">
        <f aca="false">IF(NOT(Tasks[[#This Row],[_IsLeaf]]=1),"",IF(N(Tasks[[#This Row],[_Days]])&lt;=0,Tasks[[#This Row],[_LeafCalcStart]],WORKDAY.INTL(Tasks[[#This Row],[_LeafCalcStart]],Tasks[[#This Row],[_Days]]-1,WorkWeek,Holidays)))</f>
        <v/>
      </c>
      <c r="CL1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8" s="42" t="str">
        <f aca="false">IF(Tasks[[#This Row],[_Predecessors]]="","",TRIM(MID(SUBSTITUTE(SUBSTITUTE(SUBSTITUTE(UPPER(Tasks[[#This Row],[_Predecessors]]),";",",")," ",""),",",REPT(" ",99)),1,99)))</f>
        <v/>
      </c>
      <c r="CO148" s="42" t="str">
        <f aca="false">IF(Tasks[[#This Row],[_Pred1Text]]="","",IFERROR(VALUE(LEFT(Tasks[[#This Row],[_Pred1Text]],MIN(FIND("F",Tasks[[#This Row],[_Pred1Text]]&amp;"F"),FIND("S",Tasks[[#This Row],[_Pred1Text]]&amp;"S"),FIND("+",Tasks[[#This Row],[_Pred1Text]]&amp;"+"),FIND("-",Tasks[[#This Row],[_Pred1Text]]&amp;"-"))-1)),""))</f>
        <v/>
      </c>
      <c r="CP1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8" s="42" t="str">
        <f aca="false">IF(Tasks[[#This Row],[_Pred1Text]]="","",TRIM(MID(SUBSTITUTE(SUBSTITUTE(SUBSTITUTE(UPPER(Tasks[[#This Row],[_Predecessors]]),";",",")," ",""),",",REPT(" ",99)),100,99)))</f>
        <v/>
      </c>
      <c r="CS148" s="42" t="str">
        <f aca="false">IF(Tasks[[#This Row],[_Pred2Text]]="","",IFERROR(VALUE(LEFT(Tasks[[#This Row],[_Pred2Text]],MIN(FIND("F",Tasks[[#This Row],[_Pred2Text]]&amp;"F"),FIND("S",Tasks[[#This Row],[_Pred2Text]]&amp;"S"),FIND("+",Tasks[[#This Row],[_Pred2Text]]&amp;"+"),FIND("-",Tasks[[#This Row],[_Pred2Text]]&amp;"-"))-1)),""))</f>
        <v/>
      </c>
      <c r="CT1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8" s="42" t="str">
        <f aca="false">IF(Tasks[[#This Row],[_Pred2Text]]="","",TRIM(MID(SUBSTITUTE(SUBSTITUTE(SUBSTITUTE(UPPER(Tasks[[#This Row],[_Predecessors]]),";",",")," ",""),",",REPT(" ",99)),199,99)))</f>
        <v/>
      </c>
      <c r="CW148" s="42" t="str">
        <f aca="false">IF(Tasks[[#This Row],[_Pred3Text]]="","",IFERROR(VALUE(LEFT(Tasks[[#This Row],[_Pred3Text]],MIN(FIND("F",Tasks[[#This Row],[_Pred3Text]]&amp;"F"),FIND("S",Tasks[[#This Row],[_Pred3Text]]&amp;"S"),FIND("+",Tasks[[#This Row],[_Pred3Text]]&amp;"+"),FIND("-",Tasks[[#This Row],[_Pred3Text]]&amp;"-"))-1)),""))</f>
        <v/>
      </c>
      <c r="CX1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8" s="42" t="str">
        <f aca="false">IF(Tasks[[#This Row],[_Pred3Text]]="","",TRIM(MID(SUBSTITUTE(SUBSTITUTE(SUBSTITUTE(UPPER(Tasks[[#This Row],[_Predecessors]]),";",",")," ",""),",",REPT(" ",99)),298,99)))</f>
        <v/>
      </c>
      <c r="DA148" s="42" t="str">
        <f aca="false">IF(Tasks[[#This Row],[_Pred4Text]]="","",IFERROR(VALUE(LEFT(Tasks[[#This Row],[_Pred4Text]],MIN(FIND("F",Tasks[[#This Row],[_Pred4Text]]&amp;"F"),FIND("S",Tasks[[#This Row],[_Pred4Text]]&amp;"S"),FIND("+",Tasks[[#This Row],[_Pred4Text]]&amp;"+"),FIND("-",Tasks[[#This Row],[_Pred4Text]]&amp;"-"))-1)),""))</f>
        <v/>
      </c>
      <c r="DB1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8" s="42" t="str">
        <f aca="false">IF(OR(Tasks[[#This Row],[Task Name]]="",Tasks[[#This Row],[_Resources]]=""),"",TRIM(MID(SUBSTITUTE(Tasks[[#This Row],[_Resources]],",",REPT(" ",99)),1,99)))</f>
        <v/>
      </c>
      <c r="DE148" s="42" t="str">
        <f aca="false">IF(Tasks[[#This Row],[_Res1Text]]="","",TRIM(MID(SUBSTITUTE(Tasks[[#This Row],[_Resources]],",",REPT(" ",99)),100,99)))</f>
        <v/>
      </c>
      <c r="DF148" s="42" t="str">
        <f aca="false">IF(Tasks[[#This Row],[_Res2Text]]="","",TRIM(MID(SUBSTITUTE(Tasks[[#This Row],[_Resources]],",",REPT(" ",99)),199,99)))</f>
        <v/>
      </c>
      <c r="DG148" s="42" t="str">
        <f aca="false">IF(Tasks[[#This Row],[_Res3Text]]="","",TRIM(MID(SUBSTITUTE(Tasks[[#This Row],[_Resources]],",",REPT(" ",99)),298,99)))</f>
        <v/>
      </c>
      <c r="DH148" s="42" t="n">
        <f aca="false">IF(Tasks[[#This Row],[_Res1Text]]="",0,IFERROR(MATCH(TRIM(LEFT(Tasks[[#This Row],[_Res1Text]],FIND("[",Tasks[[#This Row],[_Res1Text]]&amp;"[")-1)),res_Name,0),IFERROR(MATCH(TRIM(LEFT(Tasks[[#This Row],[_Res1Text]],FIND("[",Tasks[[#This Row],[_Res1Text]]&amp;"[")-1)),res_Initials,0),0)))</f>
        <v>0</v>
      </c>
      <c r="DI148" s="42" t="n">
        <f aca="false">IF(Tasks[[#This Row],[_Res2Text]]="",0,IFERROR(MATCH(TRIM(LEFT(Tasks[[#This Row],[_Res2Text]],FIND("[",Tasks[[#This Row],[_Res2Text]]&amp;"[")-1)),res_Name,0),IFERROR(MATCH(TRIM(LEFT(Tasks[[#This Row],[_Res2Text]],FIND("[",Tasks[[#This Row],[_Res2Text]]&amp;"[")-1)),res_Initials,0),0)))</f>
        <v>0</v>
      </c>
      <c r="DJ148" s="42" t="n">
        <f aca="false">IF(Tasks[[#This Row],[_Res3Text]]="",0,IFERROR(MATCH(TRIM(LEFT(Tasks[[#This Row],[_Res3Text]],FIND("[",Tasks[[#This Row],[_Res3Text]]&amp;"[")-1)),res_Name,0),IFERROR(MATCH(TRIM(LEFT(Tasks[[#This Row],[_Res3Text]],FIND("[",Tasks[[#This Row],[_Res3Text]]&amp;"[")-1)),res_Initials,0),0)))</f>
        <v>0</v>
      </c>
      <c r="DK148" s="42" t="n">
        <f aca="false">IF(Tasks[[#This Row],[_Res4Text]]="",0,IFERROR(MATCH(TRIM(LEFT(Tasks[[#This Row],[_Res4Text]],FIND("[",Tasks[[#This Row],[_Res4Text]]&amp;"[")-1)),res_Name,0),IFERROR(MATCH(TRIM(LEFT(Tasks[[#This Row],[_Res4Text]],FIND("[",Tasks[[#This Row],[_Res4Text]]&amp;"[")-1)),res_Initials,0),0)))</f>
        <v>0</v>
      </c>
      <c r="DL148" s="42" t="str">
        <f aca="false">IF(Tasks[[#This Row],[_Res1Text]]="","",IF(Tasks[[#This Row],[_Res1Row]]&gt;0,INDEX(res_Name,Tasks[[#This Row],[_Res1Row]]),TRIM(LEFT(Tasks[[#This Row],[_Res1Text]],FIND("[",Tasks[[#This Row],[_Res1Text]]&amp;"[")-1))))</f>
        <v/>
      </c>
      <c r="DM1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8" s="42" t="n">
        <f aca="false">IF(NOT(Tasks[[#This Row],[_IsLeaf]]=1),0,(Tasks[[#This Row],[_Resource1]]&lt;&gt;"")+(Tasks[[#This Row],[_Res2]]&lt;&gt;"")+(Tasks[[#This Row],[_Res3]]&lt;&gt;"")+(Tasks[[#This Row],[_Res4]]&lt;&gt;""))</f>
        <v>0</v>
      </c>
      <c r="DO148" s="42" t="str">
        <f aca="false">IF(Tasks[[#This Row],[_Res2Text]]="","",IF(Tasks[[#This Row],[_Res2Row]]&gt;0,INDEX(res_Name,Tasks[[#This Row],[_Res2Row]]),TRIM(LEFT(Tasks[[#This Row],[_Res2Text]],FIND("[",Tasks[[#This Row],[_Res2Text]]&amp;"[")-1))))</f>
        <v/>
      </c>
      <c r="DP1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8" s="42" t="n">
        <f aca="false">IF(OR(NOT(Tasks[[#This Row],[_IsLeaf]]=1),Tasks[[#This Row],[_Res2Row]]=0),0,N(Tasks[[#This Row],[_Days]])*HoursPerDay*IF(Tasks[[#This Row],[_Res2Units]]="",DefaultUnits,Tasks[[#This Row],[_Res2Units]]))</f>
        <v>0</v>
      </c>
      <c r="DR148" s="42" t="n">
        <f aca="false">IF(AND(AND(Tasks[[#This Row],[_IsLeaf]]=1,Tasks[[#This Row],[_LeafTotalWork]]&gt;0),Tasks[[#This Row],[_Res2Work]]&gt;0),Tasks[[#This Row],[_Res2Work]]/(Tasks[[#This Row],[_FinishWorkday]]-Tasks[[#This Row],[_StartWorkday]]+1),0)</f>
        <v>0</v>
      </c>
      <c r="DS148" s="42" t="n">
        <f aca="false">Tasks[[#This Row],[_Res2WorkPerWD]]*MAX(0,Tasks[[#This Row],[_StartWorkday]]-1)</f>
        <v>0</v>
      </c>
      <c r="DT148" s="42" t="n">
        <f aca="false">Tasks[[#This Row],[_Res2Work]]*Tasks[[#This Row],[_LeafProgress]]</f>
        <v>0</v>
      </c>
      <c r="DU148" s="42" t="str">
        <f aca="false">IF(Tasks[[#This Row],[_Res3Text]]="","",IF(Tasks[[#This Row],[_Res3Row]]&gt;0,INDEX(res_Name,Tasks[[#This Row],[_Res3Row]]),TRIM(LEFT(Tasks[[#This Row],[_Res3Text]],FIND("[",Tasks[[#This Row],[_Res3Text]]&amp;"[")-1))))</f>
        <v/>
      </c>
      <c r="DV1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8" s="42" t="n">
        <f aca="false">IF(OR(NOT(Tasks[[#This Row],[_IsLeaf]]=1),Tasks[[#This Row],[_Res3Row]]=0),0,N(Tasks[[#This Row],[_Days]])*HoursPerDay*IF(Tasks[[#This Row],[_Res3Units]]="",DefaultUnits,Tasks[[#This Row],[_Res3Units]]))</f>
        <v>0</v>
      </c>
      <c r="DX148" s="42" t="n">
        <f aca="false">IF(AND(AND(Tasks[[#This Row],[_IsLeaf]]=1,Tasks[[#This Row],[_LeafTotalWork]]&gt;0),Tasks[[#This Row],[_Res3Work]]&gt;0),Tasks[[#This Row],[_Res3Work]]/(Tasks[[#This Row],[_FinishWorkday]]-Tasks[[#This Row],[_StartWorkday]]+1),0)</f>
        <v>0</v>
      </c>
      <c r="DY148" s="42" t="n">
        <f aca="false">Tasks[[#This Row],[_Res3WorkPerWD]]*MAX(0,Tasks[[#This Row],[_StartWorkday]]-1)</f>
        <v>0</v>
      </c>
      <c r="DZ148" s="42" t="n">
        <f aca="false">Tasks[[#This Row],[_Res3Work]]*Tasks[[#This Row],[_LeafProgress]]</f>
        <v>0</v>
      </c>
      <c r="EA148" s="42" t="str">
        <f aca="false">IF(Tasks[[#This Row],[_Res4Text]]="","",IF(Tasks[[#This Row],[_Res4Row]]&gt;0,INDEX(res_Name,Tasks[[#This Row],[_Res4Row]]),TRIM(LEFT(Tasks[[#This Row],[_Res4Text]],FIND("[",Tasks[[#This Row],[_Res4Text]]&amp;"[")-1))))</f>
        <v/>
      </c>
      <c r="EB1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8" s="42" t="n">
        <f aca="false">IF(OR(NOT(Tasks[[#This Row],[_IsLeaf]]=1),Tasks[[#This Row],[_Res4Row]]=0),0,N(Tasks[[#This Row],[_Days]])*HoursPerDay*IF(Tasks[[#This Row],[_Res4Units]]="",DefaultUnits,Tasks[[#This Row],[_Res4Units]]))</f>
        <v>0</v>
      </c>
      <c r="ED148" s="42" t="n">
        <f aca="false">IF(AND(AND(Tasks[[#This Row],[_IsLeaf]]=1,Tasks[[#This Row],[_LeafTotalWork]]&gt;0),Tasks[[#This Row],[_Res4Work]]&gt;0),Tasks[[#This Row],[_Res4Work]]/(Tasks[[#This Row],[_FinishWorkday]]-Tasks[[#This Row],[_StartWorkday]]+1),0)</f>
        <v>0</v>
      </c>
      <c r="EE148" s="42" t="n">
        <f aca="false">Tasks[[#This Row],[_Res4WorkPerWD]]*MAX(0,Tasks[[#This Row],[_StartWorkday]]-1)</f>
        <v>0</v>
      </c>
      <c r="EF148" s="42" t="n">
        <f aca="false">Tasks[[#This Row],[_Res4Work]]*Tasks[[#This Row],[_LeafProgress]]</f>
        <v>0</v>
      </c>
      <c r="EG148" s="42" t="n">
        <f aca="false">IF(ISNUMBER(Tasks[[#This Row],[% Complete]]),Tasks[[#This Row],[% Complete]],IF(Tasks[[#This Row],[Stage]]="",0,IFERROR(INDEX(stg_Pct,MATCH(Tasks[[#This Row],[Stage]],stg_Name,0)),0)))</f>
        <v>0</v>
      </c>
      <c r="EH148" s="42" t="n">
        <f aca="false">IF(NOT(Tasks[[#This Row],[_IsLeaf]]=1),0,IF(N(Tasks[[#This Row],[Actual Finish]])&gt;0,1,MIN(1,Tasks[[#This Row],[_Pct]])))</f>
        <v>0</v>
      </c>
      <c r="EI148" s="42" t="n">
        <f aca="false">IF(OR(NOT(Tasks[[#This Row],[_IsLeaf]]=1),Tasks[[#This Row],[_Res1Row]]=0),0,N(Tasks[[#This Row],[_Days]])*HoursPerDay*IF(Tasks[[#This Row],[_Units1]]="",DefaultUnits,Tasks[[#This Row],[_Units1]]))</f>
        <v>0</v>
      </c>
      <c r="EJ148" s="42" t="n">
        <f aca="false">Tasks[[#This Row],[_LeafWork]]+Tasks[[#This Row],[_Res2Work]]+Tasks[[#This Row],[_Res3Work]]+Tasks[[#This Row],[_Res4Work]]</f>
        <v>0</v>
      </c>
      <c r="EK1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8" s="42" t="n">
        <f aca="false">IF(NOT(Tasks[[#This Row],[_IsLeaf]]=1),0,MAX(_xlfn.MAXIFS(Tasks[_Row],Tasks[_Pred1UID],Tasks[[#This Row],[UID]]),_xlfn.MAXIFS(Tasks[_Row],Tasks[_Pred2UID],Tasks[[#This Row],[UID]]),_xlfn.MAXIFS(Tasks[_Row],Tasks[_Pred3UID],Tasks[[#This Row],[UID]]),_xlfn.MAXIFS(Tasks[_Row],Tasks[_Pred4UID],Tasks[[#This Row],[UID]])))</f>
        <v>0</v>
      </c>
      <c r="ET1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8" s="89" t="str">
        <f aca="false">IF(NOT(Tasks[[#This Row],[_IsLeaf]]=1),"",IF(N(Tasks[[#This Row],[_Days]])&lt;=0,Tasks[[#This Row],[_LeafLateFinish]],WORKDAY.INTL(Tasks[[#This Row],[_LeafLateFinish]],-(Tasks[[#This Row],[_Days]]-1),WorkWeek,Holidays)))</f>
        <v/>
      </c>
      <c r="EW1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8" s="88" t="b">
        <f aca="false">AND(Tasks[[#This Row],[_IsLeaf]]=1,Tasks[[#This Row],[_LeafProgress]]&lt;1,N(Tasks[[#This Row],[_LeafTotalSlack]])&lt;=CriticalSlackDays)</f>
        <v>0</v>
      </c>
      <c r="EY148" s="42" t="n">
        <f aca="false">IF(AND(Tasks[[#This Row],[_IsLeaf]]=1,Tasks[[#This Row],[_ConstraintCode]]=1,Tasks[[#This Row],[Mode]]&lt;&gt;"Manual",N(Tasks[[#This Row],[Actual Start]])=0),MAX(0,N(Tasks[[#This Row],[Free Slack]])),0)</f>
        <v>0</v>
      </c>
      <c r="EZ148" s="89" t="str">
        <f aca="false">IF(NOT(Tasks[[#This Row],[_IsLeaf]]=1),"",IF(Tasks[[#This Row],[_AlapShift]]=0,Tasks[[#This Row],[_LeafCalcStart]],WORKDAY.INTL(Tasks[[#This Row],[_LeafCalcStart]],Tasks[[#This Row],[_AlapShift]],WorkWeek,Holidays)))</f>
        <v/>
      </c>
      <c r="FA148" s="89" t="str">
        <f aca="false">IF(NOT(Tasks[[#This Row],[_IsLeaf]]=1),"",IF(Tasks[[#This Row],[_AlapShift]]=0,Tasks[[#This Row],[_LeafCalcFinish]],WORKDAY.INTL(Tasks[[#This Row],[_LeafCalcFinish]],Tasks[[#This Row],[_AlapShift]],WorkWeek,Holidays)))</f>
        <v/>
      </c>
      <c r="FB148" s="89" t="str">
        <f aca="false">IF(NOT(Tasks[[#This Row],[_IsLeaf]]=1),"",IF(Tasks[[#This Row],[_AlapShift]]=0,Tasks[[#This Row],[_LeafFcstStart]],WORKDAY.INTL(Tasks[[#This Row],[_LeafFcstStart]],Tasks[[#This Row],[_AlapShift]],WorkWeek,Holidays)))</f>
        <v/>
      </c>
      <c r="FC148" s="89" t="str">
        <f aca="false">IF(NOT(Tasks[[#This Row],[_IsLeaf]]=1),"",IF(Tasks[[#This Row],[_AlapShift]]=0,Tasks[[#This Row],[_LeafFcstFinish]],WORKDAY.INTL(Tasks[[#This Row],[_LeafFcstFinish]],Tasks[[#This Row],[_AlapShift]],WorkWeek,Holidays)))</f>
        <v/>
      </c>
      <c r="FD148" s="89" t="str">
        <f aca="false">IF(Tasks[[#This Row],[Task Name]]="","",IF(Tasks[[#This Row],[_IsSummary]],MIN(INDEX(Tasks[_ShownCalcStart],Tasks[[#This Row],[_Row]]+1):INDEX(Tasks[_ShownCalcStart],Tasks[[#This Row],[_Row]]+Tasks[[#This Row],[_Descendants]])),Tasks[[#This Row],[_ShownCalcStart]]))</f>
        <v/>
      </c>
      <c r="FE148" s="89" t="str">
        <f aca="false">IF(Tasks[[#This Row],[Task Name]]="","",IF(Tasks[[#This Row],[_IsSummary]],MAX(INDEX(Tasks[_ShownCalcFinish],Tasks[[#This Row],[_Row]]+1):INDEX(Tasks[_ShownCalcFinish],Tasks[[#This Row],[_Row]]+Tasks[[#This Row],[_Descendants]])),Tasks[[#This Row],[_ShownCalcFinish]]))</f>
        <v/>
      </c>
      <c r="FF1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8" s="42" t="n">
        <f aca="false">IF(AND(Tasks[[#This Row],[_IsLeaf]]=1,Tasks[[#This Row],[_LeafTotalWork]]&gt;0),NETWORKDAYS.INTL(ProjectStart,Tasks[[#This Row],[_ShownFcstStart]],WorkWeek,Holidays),0)</f>
        <v>0</v>
      </c>
      <c r="FS148" s="42" t="n">
        <f aca="false">IF(AND(Tasks[[#This Row],[_IsLeaf]]=1,Tasks[[#This Row],[_LeafTotalWork]]&gt;0),MAX(Tasks[[#This Row],[_StartWorkday]],NETWORKDAYS.INTL(ProjectStart,Tasks[[#This Row],[_ShownFcstFinish]],WorkWeek,Holidays)),0)</f>
        <v>0</v>
      </c>
      <c r="FT148" s="42" t="n">
        <f aca="false">IF(AND(Tasks[[#This Row],[_IsLeaf]]=1,Tasks[[#This Row],[_LeafTotalWork]]&gt;0),Tasks[[#This Row],[_LeafWork]]/(Tasks[[#This Row],[_FinishWorkday]]-Tasks[[#This Row],[_StartWorkday]]+1),0)</f>
        <v>0</v>
      </c>
      <c r="FU148" s="42" t="n">
        <f aca="false">Tasks[[#This Row],[_WorkPerWorkday]]*(Tasks[[#This Row],[_StartWorkday]]-1)</f>
        <v>-0</v>
      </c>
      <c r="FV148" s="42" t="n">
        <f aca="false">IF(Tasks[[#This Row],[_IsLeaf]]=1,MAX(N(Tasks[[#This Row],[_Days]]),0.1),0)</f>
        <v>0</v>
      </c>
      <c r="FW148" s="42" t="n">
        <f aca="false">Tasks[[#This Row],[_WeightDur]]*Tasks[[#This Row],[_LeafProgress]]</f>
        <v>0</v>
      </c>
      <c r="FX148" s="42" t="n">
        <f aca="false">Tasks[[#This Row],[_WeightDur]]*Tasks[[#This Row],[_PlannedPct]]</f>
        <v>0</v>
      </c>
      <c r="FY1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8" s="42" t="str">
        <f aca="false">IF(AND(Tasks[[#This Row],[_IsLeaf]]=1,N(Tasks[[#This Row],[_Days]])=0,Tasks[[#This Row],[_LeafProgress]]&lt;1),Tasks[[#This Row],[_ShownFcstFinish]]+Tasks[[#This Row],[_Row]]/100000,"")</f>
        <v/>
      </c>
      <c r="GA1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8" s="42" t="str">
        <f aca="false">IF(Tasks[[#This Row],[Task Name]]="","",LEFT(Tasks[[#This Row],[WBS]],FIND(".",Tasks[[#This Row],[WBS]]&amp;".")-1))</f>
        <v/>
      </c>
      <c r="GC148" s="42" t="str">
        <f aca="false">IF(AND(Tasks[[#This Row],[Task Name]]&lt;&gt;"",Tasks[[#This Row],[_Level]]=1),Tasks[[#This Row],[_Row]],"")</f>
        <v/>
      </c>
      <c r="GD148" s="42" t="str">
        <f aca="false">IF(AND(Tasks[[#This Row],[_IsLeaf]]=1,N(Tasks[[#This Row],[_Days]])=0),Tasks[[#This Row],[Planned Finish]]+Tasks[[#This Row],[_Row]]/100000,"")</f>
        <v/>
      </c>
      <c r="GE148" s="42" t="str">
        <f aca="false">IF(AND(Tasks[[#This Row],[_IsLeaf]]=1,Tasks[[#This Row],[_LeafProgress]]&lt;1,OR(N(Tasks[[#This Row],[Finish Var]])&gt;0,Tasks[[#This Row],[Status]]="Late Start")),MAX(0,Tasks[[#This Row],[Finish Var]])+1-Tasks[[#This Row],[_Row]]/1000000,"")</f>
        <v/>
      </c>
      <c r="GF148" s="42" t="str">
        <f aca="false">IF(AND(Tasks[[#This Row],[_IsLeaf]]=1,N(Tasks[[#This Row],[Actual Start]])=0,Tasks[[#This Row],[_ShownFcstStart]]&gt;=StatusDate,Tasks[[#This Row],[_ShownFcstStart]]&lt;=LookaheadEnd),Tasks[[#This Row],[_ShownFcstStart]]+Tasks[[#This Row],[_Row]]/100000,"")</f>
        <v/>
      </c>
      <c r="GG148" s="42" t="str">
        <f aca="false">IF(AND(Tasks[[#This Row],[_IsLeaf]]=1,Tasks[[#This Row],[_LeafProgress]]&lt;1,Tasks[[#This Row],[_ShownFcstFinish]]&gt;=StatusDate,Tasks[[#This Row],[_ShownFcstFinish]]&lt;=LookaheadEnd),Tasks[[#This Row],[_ShownFcstFinish]]+Tasks[[#This Row],[_Row]]/100000,"")</f>
        <v/>
      </c>
      <c r="GH148" s="42" t="str">
        <f aca="false">IF(Tasks[[#This Row],[_LeafCritical]],Tasks[[#This Row],[_ShownFcstStart]]+Tasks[[#This Row],[_Row]]/100000,"")</f>
        <v/>
      </c>
      <c r="GI148" s="42" t="n">
        <f aca="false">Tasks[[#This Row],[_LeafWork]]*Tasks[[#This Row],[_LeafProgress]]</f>
        <v>0</v>
      </c>
      <c r="GJ148" s="89" t="str">
        <f aca="false">IF(AND(Tasks[[#This Row],[_IsLeaf]]=1,Tasks[[#This Row],[_LeafProgress]]&gt;=1),IF(N(Tasks[[#This Row],[Actual Finish]])&gt;0,Tasks[[#This Row],[Actual Finish]],Tasks[[#This Row],[_ShownFcstFinish]]),"")</f>
        <v/>
      </c>
      <c r="GK148" s="42" t="n">
        <f aca="false">IF(Tasks[[#This Row],[_IsLeaf]]=1,N(Tasks[[#This Row],[Story Points]]),0)</f>
        <v>0</v>
      </c>
      <c r="GL148" s="42" t="str">
        <f aca="false">""</f>
        <v/>
      </c>
      <c r="GM148" s="88" t="b">
        <f aca="false">IF(Tasks[[#This Row],[Task Name]]="",FALSE(),AND(Tasks[[#This Row],[_IsLeaf]]=1,N(Tasks[[#This Row],[_Days]])=0))</f>
        <v>0</v>
      </c>
      <c r="GN148" s="89" t="n">
        <f aca="false">IF(Tasks[[#This Row],[Task Name]]="",0,IF(AND(Tasks[[#This Row],[_IsLeaf]]=1,NOT(Tasks[[#This Row],[_IsMilestone]]),N(Tasks[[#This Row],[Progress]])&gt;0),Tasks[[#This Row],[Start]],0))</f>
        <v>0</v>
      </c>
      <c r="GO148" s="89" t="n">
        <f aca="false">IF(Tasks[[#This Row],[_DoneFrom]]=0,0,IF(Tasks[[#This Row],[Progress]]&gt;=1,Tasks[[#This Row],[Finish]],MAX(Tasks[[#This Row],[_DoneFrom]],Tasks[[#This Row],[Start]]+ROUND((Tasks[[#This Row],[Finish]]-Tasks[[#This Row],[Start]]+1)*Tasks[[#This Row],[Progress]],0)-1)))</f>
        <v>0</v>
      </c>
      <c r="GP148" s="89" t="n">
        <f aca="false">IF(Tasks[[#This Row],[Task Name]]="",0,IF(OR(NOT(Tasks[[#This Row],[_IsLeaf]]=1),Tasks[[#This Row],[_IsMilestone]],N(Tasks[[#This Row],[Progress]])&gt;=1),0,IF(Tasks[[#This Row],[_DoneTo]]&gt;0,Tasks[[#This Row],[_DoneTo]]+1,Tasks[[#This Row],[Start]])))</f>
        <v>0</v>
      </c>
      <c r="GQ148" s="89" t="n">
        <f aca="false">IF(Tasks[[#This Row],[_RemFrom]]=0,0,Tasks[[#This Row],[Finish]])</f>
        <v>0</v>
      </c>
      <c r="GR148" s="88" t="b">
        <f aca="false">IF(Tasks[[#This Row],[Task Name]]="",FALSE(),OR(NOT(BaselineSet),N(Tasks[[#This Row],[Baseline Start]])&gt;0))</f>
        <v>0</v>
      </c>
      <c r="GS1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8" s="90" t="str">
        <f aca="false">IF(Tasks[[#This Row],[_IsLeaf]]=1,Tasks[[#This Row],[_Row]],"")</f>
        <v/>
      </c>
      <c r="GW148" s="90" t="str">
        <f aca="false">IFERROR(INDEX(Tasks[UID],SMALL(Tasks[_PickKey],Tasks[[#This Row],[_Row]]))&amp;" "&amp;INDEX(Tasks[Task Name],SMALL(Tasks[_PickKey],Tasks[[#This Row],[_Row]])),"")</f>
        <v/>
      </c>
      <c r="GX148" s="42" t="str">
        <f aca="false">IF(Tasks[[#This Row],[Task Name]]="","",IF(Tasks[[#This Row],[_IsSummary]],NETWORKDAYS.INTL(Tasks[[#This Row],[Start]],Tasks[[#This Row],[Finish]],WorkWeek,Holidays),N(Tasks[[#This Row],[_Days]])))</f>
        <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3"/>
      <c r="U149" s="23"/>
      <c r="V149" s="83"/>
      <c r="W149" s="23"/>
      <c r="X149" s="83"/>
      <c r="Y149" s="23"/>
      <c r="Z149" s="83"/>
      <c r="AA149" s="23"/>
      <c r="AB149" s="23"/>
      <c r="AC149" s="7"/>
      <c r="AD149" s="7"/>
      <c r="AE149" s="62" t="str">
        <f aca="false">IF(Tasks[[#This Row],[Task Name]]="","",IF(Tasks[[#This Row],[_IsSummary]],MIN(INDEX(Tasks[_ShownFcstStart],Tasks[[#This Row],[_Row]]+1):INDEX(Tasks[_ShownFcstStart],Tasks[[#This Row],[_Row]]+Tasks[[#This Row],[_Descendants]])),Tasks[[#This Row],[_ShownFcstStart]]))</f>
        <v/>
      </c>
      <c r="AF149" s="62"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9" s="7"/>
      <c r="AK149" s="22"/>
      <c r="AL149" s="23"/>
      <c r="AM149" s="7"/>
      <c r="AN149" s="46"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2" t="str">
        <f aca="false">IF(Tasks[[#This Row],[Task Name]]="","",IF(N(Tasks[[#This Row],[Baseline Start]])&gt;0,Tasks[[#This Row],[Baseline Start]],Tasks[[#This Row],[_CalcStart]]))</f>
        <v/>
      </c>
      <c r="AR149" s="62" t="str">
        <f aca="false">IF(Tasks[[#This Row],[Task Name]]="","",IF(N(Tasks[[#This Row],[Baseline Finish]])&gt;0,Tasks[[#This Row],[Baseline Finish]],Tasks[[#This Row],[_CalcFinish]]))</f>
        <v/>
      </c>
      <c r="AS149" s="46" t="str">
        <f aca="false">IF(Tasks[[#This Row],[Task Name]]="","",IF(Tasks[[#This Row],[Start]]&gt;=Tasks[[#This Row],[Planned Start]],NETWORKDAYS.INTL(Tasks[[#This Row],[Planned Start]],Tasks[[#This Row],[Start]],WorkWeek,Holidays)-1,1-NETWORKDAYS.INTL(Tasks[[#This Row],[Start]],Tasks[[#This Row],[Planned Start]],WorkWeek,Holidays)))</f>
        <v/>
      </c>
      <c r="AT149" s="62" t="str">
        <f aca="false">IF(Tasks[[#This Row],[Task Name]]="","",IF(Tasks[[#This Row],[_IsSummary]],MIN(INDEX(Tasks[_LeafLateStart],Tasks[[#This Row],[_Row]]+1):INDEX(Tasks[_LeafLateStart],Tasks[[#This Row],[_Row]]+Tasks[[#This Row],[_Descendants]])),Tasks[[#This Row],[_LeafLateStart]]))</f>
        <v/>
      </c>
      <c r="AU149" s="62" t="str">
        <f aca="false">IF(Tasks[[#This Row],[Task Name]]="","",IF(Tasks[[#This Row],[_IsSummary]],MAX(INDEX(Tasks[_LeafLateFinish],Tasks[[#This Row],[_Row]]+1):INDEX(Tasks[_LeafLateFinish],Tasks[[#This Row],[_Row]]+Tasks[[#This Row],[_Descendants]])),Tasks[[#This Row],[_LeafLateFinish]]))</f>
        <v/>
      </c>
      <c r="AV149" s="46"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4"/>
      <c r="BA1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5"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6"/>
      <c r="BJ149" s="22"/>
      <c r="BK149" s="46" t="str">
        <f aca="false">IF(OR(Tasks[[#This Row],[Task Name]]="",Tasks[[#This Row],[Baseline Duration]]=""),"",Tasks[[#This Row],[_SpanDays]]-N(Tasks[[#This Row],[Baseline Duration]]))</f>
        <v/>
      </c>
      <c r="BL149" s="85" t="str">
        <f aca="false">IF(OR(Tasks[[#This Row],[Task Name]]="",Tasks[[#This Row],[Baseline Work]]=""),"",Tasks[[#This Row],[Work]]-N(Tasks[[#This Row],[Baseline Work]]))</f>
        <v/>
      </c>
      <c r="BM149" s="62" t="str">
        <f aca="false">IF(Tasks[[#This Row],[Task Name]]="","",IF(OR(TakeBaseline="Yes",N(Tasks[[#This Row],[Baseline Start]])=0),Tasks[[#This Row],[Start]],Tasks[[#This Row],[Baseline Start]]))</f>
        <v/>
      </c>
      <c r="BN149" s="62"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5" t="str">
        <f aca="false">IF(Tasks[[#This Row],[Task Name]]="","",IF(OR(TakeBaseline="Yes",N(Tasks[[#This Row],[Baseline Work]])=0),Tasks[[#This Row],[Work]],Tasks[[#This Row],[Baseline Work]]))</f>
        <v/>
      </c>
      <c r="BQ149" s="7"/>
      <c r="BR149" s="7"/>
      <c r="BS149" s="22"/>
      <c r="BT149" s="87"/>
      <c r="BU149" s="42" t="str">
        <f aca="false">IF(Tasks[[#This Row],[Task Name]]="","",MAX(1,N(Tasks[[#This Row],[Level]])))</f>
        <v/>
      </c>
      <c r="BV149" s="42" t="n">
        <f aca="false">ROW()-ROW(Tasks[[#Headers],[ID]])</f>
        <v>144</v>
      </c>
      <c r="BW149" s="42" t="n">
        <f aca="false">IF(OR(Tasks[[#This Row],[Task Name]]="",Tasks[[#This Row],[_Level]]&lt;=1),0,IFERROR(LOOKUP(2,1/(Tasks[[#Headers],[_Level]]:Tasks[[#This Row],[_Level]]=Tasks[[#This Row],[_Level]]-1),ROW(Tasks[[#Headers],[_Level]]:Tasks[[#This Row],[_Level]])),0))</f>
        <v>0</v>
      </c>
      <c r="BX149" s="42" t="n">
        <f aca="false">IFERROR(N(INDEX(Tasks[_Level],Tasks[[#This Row],[_Row]]+1)),0)</f>
        <v>0</v>
      </c>
      <c r="BY149" s="88" t="b">
        <f aca="false">AND(Tasks[[#This Row],[Task Name]]&lt;&gt;"",Tasks[[#This Row],[_NextLevel]]&gt;Tasks[[#This Row],[_Level]])</f>
        <v>0</v>
      </c>
      <c r="BZ149" s="42" t="n">
        <f aca="false">IF(Tasks[[#This Row],[_IsSummary]],COUNTIF(Tasks[WBS],Tasks[[#This Row],[WBS]]&amp;".*"),0)</f>
        <v>0</v>
      </c>
      <c r="CA149" s="42" t="n">
        <f aca="false">IF(AND(Tasks[[#This Row],[Task Name]]&lt;&gt;"",NOT(Tasks[[#This Row],[_IsSummary]])),1,0)</f>
        <v>0</v>
      </c>
      <c r="CB149" s="42" t="n">
        <f aca="false">IF(N(Tasks[[#This Row],[_Pred1UID]])=0,0,IFERROR(MATCH(Tasks[[#This Row],[_Pred1UID]],Tasks[UID],0),-1))</f>
        <v>0</v>
      </c>
      <c r="CC149" s="42" t="n">
        <f aca="false">IF(N(Tasks[[#This Row],[_Pred2UID]])=0,0,IFERROR(MATCH(Tasks[[#This Row],[_Pred2UID]],Tasks[UID],0),-1))</f>
        <v>0</v>
      </c>
      <c r="CD149" s="42" t="n">
        <f aca="false">IF(N(Tasks[[#This Row],[_Pred3UID]])=0,0,IFERROR(MATCH(Tasks[[#This Row],[_Pred3UID]],Tasks[UID],0),-1))</f>
        <v>0</v>
      </c>
      <c r="CE149" s="42" t="n">
        <f aca="false">IF(N(Tasks[[#This Row],[_Pred4UID]])=0,0,IFERROR(MATCH(Tasks[[#This Row],[_Pred4UID]],Tasks[UID],0),-1))</f>
        <v>0</v>
      </c>
      <c r="CF1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9" s="89" t="n">
        <f aca="false">IF(OR(Tasks[[#This Row],[_ConstraintCode]]=2,Tasks[[#This Row],[_ConstraintCode]]=3,Tasks[[#This Row],[_ConstraintCode]]=4,Tasks[[#This Row],[_ConstraintCode]]=6),Tasks[[#This Row],[_ConstraintStart]],0)</f>
        <v>0</v>
      </c>
      <c r="CI149" s="89" t="n">
        <f aca="false">IF(OR(Tasks[[#This Row],[_ConstraintCode]]=2,Tasks[[#This Row],[_ConstraintCode]]=3,Tasks[[#This Row],[_ConstraintCode]]=5,Tasks[[#This Row],[_ConstraintCode]]=7),Tasks[[#This Row],[_ConstraintStart]],2958465)</f>
        <v>2958465</v>
      </c>
      <c r="CJ1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9" s="89" t="str">
        <f aca="false">IF(NOT(Tasks[[#This Row],[_IsLeaf]]=1),"",IF(N(Tasks[[#This Row],[_Days]])&lt;=0,Tasks[[#This Row],[_LeafCalcStart]],WORKDAY.INTL(Tasks[[#This Row],[_LeafCalcStart]],Tasks[[#This Row],[_Days]]-1,WorkWeek,Holidays)))</f>
        <v/>
      </c>
      <c r="CL1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9" s="42" t="str">
        <f aca="false">IF(Tasks[[#This Row],[_Predecessors]]="","",TRIM(MID(SUBSTITUTE(SUBSTITUTE(SUBSTITUTE(UPPER(Tasks[[#This Row],[_Predecessors]]),";",",")," ",""),",",REPT(" ",99)),1,99)))</f>
        <v/>
      </c>
      <c r="CO149" s="42" t="str">
        <f aca="false">IF(Tasks[[#This Row],[_Pred1Text]]="","",IFERROR(VALUE(LEFT(Tasks[[#This Row],[_Pred1Text]],MIN(FIND("F",Tasks[[#This Row],[_Pred1Text]]&amp;"F"),FIND("S",Tasks[[#This Row],[_Pred1Text]]&amp;"S"),FIND("+",Tasks[[#This Row],[_Pred1Text]]&amp;"+"),FIND("-",Tasks[[#This Row],[_Pred1Text]]&amp;"-"))-1)),""))</f>
        <v/>
      </c>
      <c r="CP1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9" s="42" t="str">
        <f aca="false">IF(Tasks[[#This Row],[_Pred1Text]]="","",TRIM(MID(SUBSTITUTE(SUBSTITUTE(SUBSTITUTE(UPPER(Tasks[[#This Row],[_Predecessors]]),";",",")," ",""),",",REPT(" ",99)),100,99)))</f>
        <v/>
      </c>
      <c r="CS149" s="42" t="str">
        <f aca="false">IF(Tasks[[#This Row],[_Pred2Text]]="","",IFERROR(VALUE(LEFT(Tasks[[#This Row],[_Pred2Text]],MIN(FIND("F",Tasks[[#This Row],[_Pred2Text]]&amp;"F"),FIND("S",Tasks[[#This Row],[_Pred2Text]]&amp;"S"),FIND("+",Tasks[[#This Row],[_Pred2Text]]&amp;"+"),FIND("-",Tasks[[#This Row],[_Pred2Text]]&amp;"-"))-1)),""))</f>
        <v/>
      </c>
      <c r="CT1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9" s="42" t="str">
        <f aca="false">IF(Tasks[[#This Row],[_Pred2Text]]="","",TRIM(MID(SUBSTITUTE(SUBSTITUTE(SUBSTITUTE(UPPER(Tasks[[#This Row],[_Predecessors]]),";",",")," ",""),",",REPT(" ",99)),199,99)))</f>
        <v/>
      </c>
      <c r="CW149" s="42" t="str">
        <f aca="false">IF(Tasks[[#This Row],[_Pred3Text]]="","",IFERROR(VALUE(LEFT(Tasks[[#This Row],[_Pred3Text]],MIN(FIND("F",Tasks[[#This Row],[_Pred3Text]]&amp;"F"),FIND("S",Tasks[[#This Row],[_Pred3Text]]&amp;"S"),FIND("+",Tasks[[#This Row],[_Pred3Text]]&amp;"+"),FIND("-",Tasks[[#This Row],[_Pred3Text]]&amp;"-"))-1)),""))</f>
        <v/>
      </c>
      <c r="CX1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9" s="42" t="str">
        <f aca="false">IF(Tasks[[#This Row],[_Pred3Text]]="","",TRIM(MID(SUBSTITUTE(SUBSTITUTE(SUBSTITUTE(UPPER(Tasks[[#This Row],[_Predecessors]]),";",",")," ",""),",",REPT(" ",99)),298,99)))</f>
        <v/>
      </c>
      <c r="DA149" s="42" t="str">
        <f aca="false">IF(Tasks[[#This Row],[_Pred4Text]]="","",IFERROR(VALUE(LEFT(Tasks[[#This Row],[_Pred4Text]],MIN(FIND("F",Tasks[[#This Row],[_Pred4Text]]&amp;"F"),FIND("S",Tasks[[#This Row],[_Pred4Text]]&amp;"S"),FIND("+",Tasks[[#This Row],[_Pred4Text]]&amp;"+"),FIND("-",Tasks[[#This Row],[_Pred4Text]]&amp;"-"))-1)),""))</f>
        <v/>
      </c>
      <c r="DB1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9" s="42" t="str">
        <f aca="false">IF(OR(Tasks[[#This Row],[Task Name]]="",Tasks[[#This Row],[_Resources]]=""),"",TRIM(MID(SUBSTITUTE(Tasks[[#This Row],[_Resources]],",",REPT(" ",99)),1,99)))</f>
        <v/>
      </c>
      <c r="DE149" s="42" t="str">
        <f aca="false">IF(Tasks[[#This Row],[_Res1Text]]="","",TRIM(MID(SUBSTITUTE(Tasks[[#This Row],[_Resources]],",",REPT(" ",99)),100,99)))</f>
        <v/>
      </c>
      <c r="DF149" s="42" t="str">
        <f aca="false">IF(Tasks[[#This Row],[_Res2Text]]="","",TRIM(MID(SUBSTITUTE(Tasks[[#This Row],[_Resources]],",",REPT(" ",99)),199,99)))</f>
        <v/>
      </c>
      <c r="DG149" s="42" t="str">
        <f aca="false">IF(Tasks[[#This Row],[_Res3Text]]="","",TRIM(MID(SUBSTITUTE(Tasks[[#This Row],[_Resources]],",",REPT(" ",99)),298,99)))</f>
        <v/>
      </c>
      <c r="DH149" s="42" t="n">
        <f aca="false">IF(Tasks[[#This Row],[_Res1Text]]="",0,IFERROR(MATCH(TRIM(LEFT(Tasks[[#This Row],[_Res1Text]],FIND("[",Tasks[[#This Row],[_Res1Text]]&amp;"[")-1)),res_Name,0),IFERROR(MATCH(TRIM(LEFT(Tasks[[#This Row],[_Res1Text]],FIND("[",Tasks[[#This Row],[_Res1Text]]&amp;"[")-1)),res_Initials,0),0)))</f>
        <v>0</v>
      </c>
      <c r="DI149" s="42" t="n">
        <f aca="false">IF(Tasks[[#This Row],[_Res2Text]]="",0,IFERROR(MATCH(TRIM(LEFT(Tasks[[#This Row],[_Res2Text]],FIND("[",Tasks[[#This Row],[_Res2Text]]&amp;"[")-1)),res_Name,0),IFERROR(MATCH(TRIM(LEFT(Tasks[[#This Row],[_Res2Text]],FIND("[",Tasks[[#This Row],[_Res2Text]]&amp;"[")-1)),res_Initials,0),0)))</f>
        <v>0</v>
      </c>
      <c r="DJ149" s="42" t="n">
        <f aca="false">IF(Tasks[[#This Row],[_Res3Text]]="",0,IFERROR(MATCH(TRIM(LEFT(Tasks[[#This Row],[_Res3Text]],FIND("[",Tasks[[#This Row],[_Res3Text]]&amp;"[")-1)),res_Name,0),IFERROR(MATCH(TRIM(LEFT(Tasks[[#This Row],[_Res3Text]],FIND("[",Tasks[[#This Row],[_Res3Text]]&amp;"[")-1)),res_Initials,0),0)))</f>
        <v>0</v>
      </c>
      <c r="DK149" s="42" t="n">
        <f aca="false">IF(Tasks[[#This Row],[_Res4Text]]="",0,IFERROR(MATCH(TRIM(LEFT(Tasks[[#This Row],[_Res4Text]],FIND("[",Tasks[[#This Row],[_Res4Text]]&amp;"[")-1)),res_Name,0),IFERROR(MATCH(TRIM(LEFT(Tasks[[#This Row],[_Res4Text]],FIND("[",Tasks[[#This Row],[_Res4Text]]&amp;"[")-1)),res_Initials,0),0)))</f>
        <v>0</v>
      </c>
      <c r="DL149" s="42" t="str">
        <f aca="false">IF(Tasks[[#This Row],[_Res1Text]]="","",IF(Tasks[[#This Row],[_Res1Row]]&gt;0,INDEX(res_Name,Tasks[[#This Row],[_Res1Row]]),TRIM(LEFT(Tasks[[#This Row],[_Res1Text]],FIND("[",Tasks[[#This Row],[_Res1Text]]&amp;"[")-1))))</f>
        <v/>
      </c>
      <c r="DM1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9" s="42" t="n">
        <f aca="false">IF(NOT(Tasks[[#This Row],[_IsLeaf]]=1),0,(Tasks[[#This Row],[_Resource1]]&lt;&gt;"")+(Tasks[[#This Row],[_Res2]]&lt;&gt;"")+(Tasks[[#This Row],[_Res3]]&lt;&gt;"")+(Tasks[[#This Row],[_Res4]]&lt;&gt;""))</f>
        <v>0</v>
      </c>
      <c r="DO149" s="42" t="str">
        <f aca="false">IF(Tasks[[#This Row],[_Res2Text]]="","",IF(Tasks[[#This Row],[_Res2Row]]&gt;0,INDEX(res_Name,Tasks[[#This Row],[_Res2Row]]),TRIM(LEFT(Tasks[[#This Row],[_Res2Text]],FIND("[",Tasks[[#This Row],[_Res2Text]]&amp;"[")-1))))</f>
        <v/>
      </c>
      <c r="DP1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9" s="42" t="n">
        <f aca="false">IF(OR(NOT(Tasks[[#This Row],[_IsLeaf]]=1),Tasks[[#This Row],[_Res2Row]]=0),0,N(Tasks[[#This Row],[_Days]])*HoursPerDay*IF(Tasks[[#This Row],[_Res2Units]]="",DefaultUnits,Tasks[[#This Row],[_Res2Units]]))</f>
        <v>0</v>
      </c>
      <c r="DR149" s="42" t="n">
        <f aca="false">IF(AND(AND(Tasks[[#This Row],[_IsLeaf]]=1,Tasks[[#This Row],[_LeafTotalWork]]&gt;0),Tasks[[#This Row],[_Res2Work]]&gt;0),Tasks[[#This Row],[_Res2Work]]/(Tasks[[#This Row],[_FinishWorkday]]-Tasks[[#This Row],[_StartWorkday]]+1),0)</f>
        <v>0</v>
      </c>
      <c r="DS149" s="42" t="n">
        <f aca="false">Tasks[[#This Row],[_Res2WorkPerWD]]*MAX(0,Tasks[[#This Row],[_StartWorkday]]-1)</f>
        <v>0</v>
      </c>
      <c r="DT149" s="42" t="n">
        <f aca="false">Tasks[[#This Row],[_Res2Work]]*Tasks[[#This Row],[_LeafProgress]]</f>
        <v>0</v>
      </c>
      <c r="DU149" s="42" t="str">
        <f aca="false">IF(Tasks[[#This Row],[_Res3Text]]="","",IF(Tasks[[#This Row],[_Res3Row]]&gt;0,INDEX(res_Name,Tasks[[#This Row],[_Res3Row]]),TRIM(LEFT(Tasks[[#This Row],[_Res3Text]],FIND("[",Tasks[[#This Row],[_Res3Text]]&amp;"[")-1))))</f>
        <v/>
      </c>
      <c r="DV1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9" s="42" t="n">
        <f aca="false">IF(OR(NOT(Tasks[[#This Row],[_IsLeaf]]=1),Tasks[[#This Row],[_Res3Row]]=0),0,N(Tasks[[#This Row],[_Days]])*HoursPerDay*IF(Tasks[[#This Row],[_Res3Units]]="",DefaultUnits,Tasks[[#This Row],[_Res3Units]]))</f>
        <v>0</v>
      </c>
      <c r="DX149" s="42" t="n">
        <f aca="false">IF(AND(AND(Tasks[[#This Row],[_IsLeaf]]=1,Tasks[[#This Row],[_LeafTotalWork]]&gt;0),Tasks[[#This Row],[_Res3Work]]&gt;0),Tasks[[#This Row],[_Res3Work]]/(Tasks[[#This Row],[_FinishWorkday]]-Tasks[[#This Row],[_StartWorkday]]+1),0)</f>
        <v>0</v>
      </c>
      <c r="DY149" s="42" t="n">
        <f aca="false">Tasks[[#This Row],[_Res3WorkPerWD]]*MAX(0,Tasks[[#This Row],[_StartWorkday]]-1)</f>
        <v>0</v>
      </c>
      <c r="DZ149" s="42" t="n">
        <f aca="false">Tasks[[#This Row],[_Res3Work]]*Tasks[[#This Row],[_LeafProgress]]</f>
        <v>0</v>
      </c>
      <c r="EA149" s="42" t="str">
        <f aca="false">IF(Tasks[[#This Row],[_Res4Text]]="","",IF(Tasks[[#This Row],[_Res4Row]]&gt;0,INDEX(res_Name,Tasks[[#This Row],[_Res4Row]]),TRIM(LEFT(Tasks[[#This Row],[_Res4Text]],FIND("[",Tasks[[#This Row],[_Res4Text]]&amp;"[")-1))))</f>
        <v/>
      </c>
      <c r="EB1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9" s="42" t="n">
        <f aca="false">IF(OR(NOT(Tasks[[#This Row],[_IsLeaf]]=1),Tasks[[#This Row],[_Res4Row]]=0),0,N(Tasks[[#This Row],[_Days]])*HoursPerDay*IF(Tasks[[#This Row],[_Res4Units]]="",DefaultUnits,Tasks[[#This Row],[_Res4Units]]))</f>
        <v>0</v>
      </c>
      <c r="ED149" s="42" t="n">
        <f aca="false">IF(AND(AND(Tasks[[#This Row],[_IsLeaf]]=1,Tasks[[#This Row],[_LeafTotalWork]]&gt;0),Tasks[[#This Row],[_Res4Work]]&gt;0),Tasks[[#This Row],[_Res4Work]]/(Tasks[[#This Row],[_FinishWorkday]]-Tasks[[#This Row],[_StartWorkday]]+1),0)</f>
        <v>0</v>
      </c>
      <c r="EE149" s="42" t="n">
        <f aca="false">Tasks[[#This Row],[_Res4WorkPerWD]]*MAX(0,Tasks[[#This Row],[_StartWorkday]]-1)</f>
        <v>0</v>
      </c>
      <c r="EF149" s="42" t="n">
        <f aca="false">Tasks[[#This Row],[_Res4Work]]*Tasks[[#This Row],[_LeafProgress]]</f>
        <v>0</v>
      </c>
      <c r="EG149" s="42" t="n">
        <f aca="false">IF(ISNUMBER(Tasks[[#This Row],[% Complete]]),Tasks[[#This Row],[% Complete]],IF(Tasks[[#This Row],[Stage]]="",0,IFERROR(INDEX(stg_Pct,MATCH(Tasks[[#This Row],[Stage]],stg_Name,0)),0)))</f>
        <v>0</v>
      </c>
      <c r="EH149" s="42" t="n">
        <f aca="false">IF(NOT(Tasks[[#This Row],[_IsLeaf]]=1),0,IF(N(Tasks[[#This Row],[Actual Finish]])&gt;0,1,MIN(1,Tasks[[#This Row],[_Pct]])))</f>
        <v>0</v>
      </c>
      <c r="EI149" s="42" t="n">
        <f aca="false">IF(OR(NOT(Tasks[[#This Row],[_IsLeaf]]=1),Tasks[[#This Row],[_Res1Row]]=0),0,N(Tasks[[#This Row],[_Days]])*HoursPerDay*IF(Tasks[[#This Row],[_Units1]]="",DefaultUnits,Tasks[[#This Row],[_Units1]]))</f>
        <v>0</v>
      </c>
      <c r="EJ149" s="42" t="n">
        <f aca="false">Tasks[[#This Row],[_LeafWork]]+Tasks[[#This Row],[_Res2Work]]+Tasks[[#This Row],[_Res3Work]]+Tasks[[#This Row],[_Res4Work]]</f>
        <v>0</v>
      </c>
      <c r="EK1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9" s="42" t="n">
        <f aca="false">IF(NOT(Tasks[[#This Row],[_IsLeaf]]=1),0,MAX(_xlfn.MAXIFS(Tasks[_Row],Tasks[_Pred1UID],Tasks[[#This Row],[UID]]),_xlfn.MAXIFS(Tasks[_Row],Tasks[_Pred2UID],Tasks[[#This Row],[UID]]),_xlfn.MAXIFS(Tasks[_Row],Tasks[_Pred3UID],Tasks[[#This Row],[UID]]),_xlfn.MAXIFS(Tasks[_Row],Tasks[_Pred4UID],Tasks[[#This Row],[UID]])))</f>
        <v>0</v>
      </c>
      <c r="ET1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9" s="89" t="str">
        <f aca="false">IF(NOT(Tasks[[#This Row],[_IsLeaf]]=1),"",IF(N(Tasks[[#This Row],[_Days]])&lt;=0,Tasks[[#This Row],[_LeafLateFinish]],WORKDAY.INTL(Tasks[[#This Row],[_LeafLateFinish]],-(Tasks[[#This Row],[_Days]]-1),WorkWeek,Holidays)))</f>
        <v/>
      </c>
      <c r="EW1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9" s="88" t="b">
        <f aca="false">AND(Tasks[[#This Row],[_IsLeaf]]=1,Tasks[[#This Row],[_LeafProgress]]&lt;1,N(Tasks[[#This Row],[_LeafTotalSlack]])&lt;=CriticalSlackDays)</f>
        <v>0</v>
      </c>
      <c r="EY149" s="42" t="n">
        <f aca="false">IF(AND(Tasks[[#This Row],[_IsLeaf]]=1,Tasks[[#This Row],[_ConstraintCode]]=1,Tasks[[#This Row],[Mode]]&lt;&gt;"Manual",N(Tasks[[#This Row],[Actual Start]])=0),MAX(0,N(Tasks[[#This Row],[Free Slack]])),0)</f>
        <v>0</v>
      </c>
      <c r="EZ149" s="89" t="str">
        <f aca="false">IF(NOT(Tasks[[#This Row],[_IsLeaf]]=1),"",IF(Tasks[[#This Row],[_AlapShift]]=0,Tasks[[#This Row],[_LeafCalcStart]],WORKDAY.INTL(Tasks[[#This Row],[_LeafCalcStart]],Tasks[[#This Row],[_AlapShift]],WorkWeek,Holidays)))</f>
        <v/>
      </c>
      <c r="FA149" s="89" t="str">
        <f aca="false">IF(NOT(Tasks[[#This Row],[_IsLeaf]]=1),"",IF(Tasks[[#This Row],[_AlapShift]]=0,Tasks[[#This Row],[_LeafCalcFinish]],WORKDAY.INTL(Tasks[[#This Row],[_LeafCalcFinish]],Tasks[[#This Row],[_AlapShift]],WorkWeek,Holidays)))</f>
        <v/>
      </c>
      <c r="FB149" s="89" t="str">
        <f aca="false">IF(NOT(Tasks[[#This Row],[_IsLeaf]]=1),"",IF(Tasks[[#This Row],[_AlapShift]]=0,Tasks[[#This Row],[_LeafFcstStart]],WORKDAY.INTL(Tasks[[#This Row],[_LeafFcstStart]],Tasks[[#This Row],[_AlapShift]],WorkWeek,Holidays)))</f>
        <v/>
      </c>
      <c r="FC149" s="89" t="str">
        <f aca="false">IF(NOT(Tasks[[#This Row],[_IsLeaf]]=1),"",IF(Tasks[[#This Row],[_AlapShift]]=0,Tasks[[#This Row],[_LeafFcstFinish]],WORKDAY.INTL(Tasks[[#This Row],[_LeafFcstFinish]],Tasks[[#This Row],[_AlapShift]],WorkWeek,Holidays)))</f>
        <v/>
      </c>
      <c r="FD149" s="89" t="str">
        <f aca="false">IF(Tasks[[#This Row],[Task Name]]="","",IF(Tasks[[#This Row],[_IsSummary]],MIN(INDEX(Tasks[_ShownCalcStart],Tasks[[#This Row],[_Row]]+1):INDEX(Tasks[_ShownCalcStart],Tasks[[#This Row],[_Row]]+Tasks[[#This Row],[_Descendants]])),Tasks[[#This Row],[_ShownCalcStart]]))</f>
        <v/>
      </c>
      <c r="FE149" s="89" t="str">
        <f aca="false">IF(Tasks[[#This Row],[Task Name]]="","",IF(Tasks[[#This Row],[_IsSummary]],MAX(INDEX(Tasks[_ShownCalcFinish],Tasks[[#This Row],[_Row]]+1):INDEX(Tasks[_ShownCalcFinish],Tasks[[#This Row],[_Row]]+Tasks[[#This Row],[_Descendants]])),Tasks[[#This Row],[_ShownCalcFinish]]))</f>
        <v/>
      </c>
      <c r="FF1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9" s="42" t="n">
        <f aca="false">IF(AND(Tasks[[#This Row],[_IsLeaf]]=1,Tasks[[#This Row],[_LeafTotalWork]]&gt;0),NETWORKDAYS.INTL(ProjectStart,Tasks[[#This Row],[_ShownFcstStart]],WorkWeek,Holidays),0)</f>
        <v>0</v>
      </c>
      <c r="FS149" s="42" t="n">
        <f aca="false">IF(AND(Tasks[[#This Row],[_IsLeaf]]=1,Tasks[[#This Row],[_LeafTotalWork]]&gt;0),MAX(Tasks[[#This Row],[_StartWorkday]],NETWORKDAYS.INTL(ProjectStart,Tasks[[#This Row],[_ShownFcstFinish]],WorkWeek,Holidays)),0)</f>
        <v>0</v>
      </c>
      <c r="FT149" s="42" t="n">
        <f aca="false">IF(AND(Tasks[[#This Row],[_IsLeaf]]=1,Tasks[[#This Row],[_LeafTotalWork]]&gt;0),Tasks[[#This Row],[_LeafWork]]/(Tasks[[#This Row],[_FinishWorkday]]-Tasks[[#This Row],[_StartWorkday]]+1),0)</f>
        <v>0</v>
      </c>
      <c r="FU149" s="42" t="n">
        <f aca="false">Tasks[[#This Row],[_WorkPerWorkday]]*(Tasks[[#This Row],[_StartWorkday]]-1)</f>
        <v>-0</v>
      </c>
      <c r="FV149" s="42" t="n">
        <f aca="false">IF(Tasks[[#This Row],[_IsLeaf]]=1,MAX(N(Tasks[[#This Row],[_Days]]),0.1),0)</f>
        <v>0</v>
      </c>
      <c r="FW149" s="42" t="n">
        <f aca="false">Tasks[[#This Row],[_WeightDur]]*Tasks[[#This Row],[_LeafProgress]]</f>
        <v>0</v>
      </c>
      <c r="FX149" s="42" t="n">
        <f aca="false">Tasks[[#This Row],[_WeightDur]]*Tasks[[#This Row],[_PlannedPct]]</f>
        <v>0</v>
      </c>
      <c r="FY1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9" s="42" t="str">
        <f aca="false">IF(AND(Tasks[[#This Row],[_IsLeaf]]=1,N(Tasks[[#This Row],[_Days]])=0,Tasks[[#This Row],[_LeafProgress]]&lt;1),Tasks[[#This Row],[_ShownFcstFinish]]+Tasks[[#This Row],[_Row]]/100000,"")</f>
        <v/>
      </c>
      <c r="GA1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9" s="42" t="str">
        <f aca="false">IF(Tasks[[#This Row],[Task Name]]="","",LEFT(Tasks[[#This Row],[WBS]],FIND(".",Tasks[[#This Row],[WBS]]&amp;".")-1))</f>
        <v/>
      </c>
      <c r="GC149" s="42" t="str">
        <f aca="false">IF(AND(Tasks[[#This Row],[Task Name]]&lt;&gt;"",Tasks[[#This Row],[_Level]]=1),Tasks[[#This Row],[_Row]],"")</f>
        <v/>
      </c>
      <c r="GD149" s="42" t="str">
        <f aca="false">IF(AND(Tasks[[#This Row],[_IsLeaf]]=1,N(Tasks[[#This Row],[_Days]])=0),Tasks[[#This Row],[Planned Finish]]+Tasks[[#This Row],[_Row]]/100000,"")</f>
        <v/>
      </c>
      <c r="GE149" s="42" t="str">
        <f aca="false">IF(AND(Tasks[[#This Row],[_IsLeaf]]=1,Tasks[[#This Row],[_LeafProgress]]&lt;1,OR(N(Tasks[[#This Row],[Finish Var]])&gt;0,Tasks[[#This Row],[Status]]="Late Start")),MAX(0,Tasks[[#This Row],[Finish Var]])+1-Tasks[[#This Row],[_Row]]/1000000,"")</f>
        <v/>
      </c>
      <c r="GF149" s="42" t="str">
        <f aca="false">IF(AND(Tasks[[#This Row],[_IsLeaf]]=1,N(Tasks[[#This Row],[Actual Start]])=0,Tasks[[#This Row],[_ShownFcstStart]]&gt;=StatusDate,Tasks[[#This Row],[_ShownFcstStart]]&lt;=LookaheadEnd),Tasks[[#This Row],[_ShownFcstStart]]+Tasks[[#This Row],[_Row]]/100000,"")</f>
        <v/>
      </c>
      <c r="GG149" s="42" t="str">
        <f aca="false">IF(AND(Tasks[[#This Row],[_IsLeaf]]=1,Tasks[[#This Row],[_LeafProgress]]&lt;1,Tasks[[#This Row],[_ShownFcstFinish]]&gt;=StatusDate,Tasks[[#This Row],[_ShownFcstFinish]]&lt;=LookaheadEnd),Tasks[[#This Row],[_ShownFcstFinish]]+Tasks[[#This Row],[_Row]]/100000,"")</f>
        <v/>
      </c>
      <c r="GH149" s="42" t="str">
        <f aca="false">IF(Tasks[[#This Row],[_LeafCritical]],Tasks[[#This Row],[_ShownFcstStart]]+Tasks[[#This Row],[_Row]]/100000,"")</f>
        <v/>
      </c>
      <c r="GI149" s="42" t="n">
        <f aca="false">Tasks[[#This Row],[_LeafWork]]*Tasks[[#This Row],[_LeafProgress]]</f>
        <v>0</v>
      </c>
      <c r="GJ149" s="89" t="str">
        <f aca="false">IF(AND(Tasks[[#This Row],[_IsLeaf]]=1,Tasks[[#This Row],[_LeafProgress]]&gt;=1),IF(N(Tasks[[#This Row],[Actual Finish]])&gt;0,Tasks[[#This Row],[Actual Finish]],Tasks[[#This Row],[_ShownFcstFinish]]),"")</f>
        <v/>
      </c>
      <c r="GK149" s="42" t="n">
        <f aca="false">IF(Tasks[[#This Row],[_IsLeaf]]=1,N(Tasks[[#This Row],[Story Points]]),0)</f>
        <v>0</v>
      </c>
      <c r="GL149" s="42" t="str">
        <f aca="false">""</f>
        <v/>
      </c>
      <c r="GM149" s="88" t="b">
        <f aca="false">IF(Tasks[[#This Row],[Task Name]]="",FALSE(),AND(Tasks[[#This Row],[_IsLeaf]]=1,N(Tasks[[#This Row],[_Days]])=0))</f>
        <v>0</v>
      </c>
      <c r="GN149" s="89" t="n">
        <f aca="false">IF(Tasks[[#This Row],[Task Name]]="",0,IF(AND(Tasks[[#This Row],[_IsLeaf]]=1,NOT(Tasks[[#This Row],[_IsMilestone]]),N(Tasks[[#This Row],[Progress]])&gt;0),Tasks[[#This Row],[Start]],0))</f>
        <v>0</v>
      </c>
      <c r="GO149" s="89" t="n">
        <f aca="false">IF(Tasks[[#This Row],[_DoneFrom]]=0,0,IF(Tasks[[#This Row],[Progress]]&gt;=1,Tasks[[#This Row],[Finish]],MAX(Tasks[[#This Row],[_DoneFrom]],Tasks[[#This Row],[Start]]+ROUND((Tasks[[#This Row],[Finish]]-Tasks[[#This Row],[Start]]+1)*Tasks[[#This Row],[Progress]],0)-1)))</f>
        <v>0</v>
      </c>
      <c r="GP149" s="89" t="n">
        <f aca="false">IF(Tasks[[#This Row],[Task Name]]="",0,IF(OR(NOT(Tasks[[#This Row],[_IsLeaf]]=1),Tasks[[#This Row],[_IsMilestone]],N(Tasks[[#This Row],[Progress]])&gt;=1),0,IF(Tasks[[#This Row],[_DoneTo]]&gt;0,Tasks[[#This Row],[_DoneTo]]+1,Tasks[[#This Row],[Start]])))</f>
        <v>0</v>
      </c>
      <c r="GQ149" s="89" t="n">
        <f aca="false">IF(Tasks[[#This Row],[_RemFrom]]=0,0,Tasks[[#This Row],[Finish]])</f>
        <v>0</v>
      </c>
      <c r="GR149" s="88" t="b">
        <f aca="false">IF(Tasks[[#This Row],[Task Name]]="",FALSE(),OR(NOT(BaselineSet),N(Tasks[[#This Row],[Baseline Start]])&gt;0))</f>
        <v>0</v>
      </c>
      <c r="GS1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9" s="90" t="str">
        <f aca="false">IF(Tasks[[#This Row],[_IsLeaf]]=1,Tasks[[#This Row],[_Row]],"")</f>
        <v/>
      </c>
      <c r="GW149" s="90" t="str">
        <f aca="false">IFERROR(INDEX(Tasks[UID],SMALL(Tasks[_PickKey],Tasks[[#This Row],[_Row]]))&amp;" "&amp;INDEX(Tasks[Task Name],SMALL(Tasks[_PickKey],Tasks[[#This Row],[_Row]])),"")</f>
        <v/>
      </c>
      <c r="GX149" s="42" t="str">
        <f aca="false">IF(Tasks[[#This Row],[Task Name]]="","",IF(Tasks[[#This Row],[_IsSummary]],NETWORKDAYS.INTL(Tasks[[#This Row],[Start]],Tasks[[#This Row],[Finish]],WorkWeek,Holidays),N(Tasks[[#This Row],[_Days]])))</f>
        <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3"/>
      <c r="U150" s="23"/>
      <c r="V150" s="83"/>
      <c r="W150" s="23"/>
      <c r="X150" s="83"/>
      <c r="Y150" s="23"/>
      <c r="Z150" s="83"/>
      <c r="AA150" s="23"/>
      <c r="AB150" s="23"/>
      <c r="AC150" s="7"/>
      <c r="AD150" s="7"/>
      <c r="AE150" s="62" t="str">
        <f aca="false">IF(Tasks[[#This Row],[Task Name]]="","",IF(Tasks[[#This Row],[_IsSummary]],MIN(INDEX(Tasks[_ShownFcstStart],Tasks[[#This Row],[_Row]]+1):INDEX(Tasks[_ShownFcstStart],Tasks[[#This Row],[_Row]]+Tasks[[#This Row],[_Descendants]])),Tasks[[#This Row],[_ShownFcstStart]]))</f>
        <v/>
      </c>
      <c r="AF150" s="62"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0" s="7"/>
      <c r="AK150" s="22"/>
      <c r="AL150" s="23"/>
      <c r="AM150" s="7"/>
      <c r="AN150" s="46"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2" t="str">
        <f aca="false">IF(Tasks[[#This Row],[Task Name]]="","",IF(N(Tasks[[#This Row],[Baseline Start]])&gt;0,Tasks[[#This Row],[Baseline Start]],Tasks[[#This Row],[_CalcStart]]))</f>
        <v/>
      </c>
      <c r="AR150" s="62" t="str">
        <f aca="false">IF(Tasks[[#This Row],[Task Name]]="","",IF(N(Tasks[[#This Row],[Baseline Finish]])&gt;0,Tasks[[#This Row],[Baseline Finish]],Tasks[[#This Row],[_CalcFinish]]))</f>
        <v/>
      </c>
      <c r="AS150" s="46" t="str">
        <f aca="false">IF(Tasks[[#This Row],[Task Name]]="","",IF(Tasks[[#This Row],[Start]]&gt;=Tasks[[#This Row],[Planned Start]],NETWORKDAYS.INTL(Tasks[[#This Row],[Planned Start]],Tasks[[#This Row],[Start]],WorkWeek,Holidays)-1,1-NETWORKDAYS.INTL(Tasks[[#This Row],[Start]],Tasks[[#This Row],[Planned Start]],WorkWeek,Holidays)))</f>
        <v/>
      </c>
      <c r="AT150" s="62" t="str">
        <f aca="false">IF(Tasks[[#This Row],[Task Name]]="","",IF(Tasks[[#This Row],[_IsSummary]],MIN(INDEX(Tasks[_LeafLateStart],Tasks[[#This Row],[_Row]]+1):INDEX(Tasks[_LeafLateStart],Tasks[[#This Row],[_Row]]+Tasks[[#This Row],[_Descendants]])),Tasks[[#This Row],[_LeafLateStart]]))</f>
        <v/>
      </c>
      <c r="AU150" s="62" t="str">
        <f aca="false">IF(Tasks[[#This Row],[Task Name]]="","",IF(Tasks[[#This Row],[_IsSummary]],MAX(INDEX(Tasks[_LeafLateFinish],Tasks[[#This Row],[_Row]]+1):INDEX(Tasks[_LeafLateFinish],Tasks[[#This Row],[_Row]]+Tasks[[#This Row],[_Descendants]])),Tasks[[#This Row],[_LeafLateFinish]]))</f>
        <v/>
      </c>
      <c r="AV150" s="46"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4"/>
      <c r="BA1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5"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6"/>
      <c r="BJ150" s="22"/>
      <c r="BK150" s="46" t="str">
        <f aca="false">IF(OR(Tasks[[#This Row],[Task Name]]="",Tasks[[#This Row],[Baseline Duration]]=""),"",Tasks[[#This Row],[_SpanDays]]-N(Tasks[[#This Row],[Baseline Duration]]))</f>
        <v/>
      </c>
      <c r="BL150" s="85" t="str">
        <f aca="false">IF(OR(Tasks[[#This Row],[Task Name]]="",Tasks[[#This Row],[Baseline Work]]=""),"",Tasks[[#This Row],[Work]]-N(Tasks[[#This Row],[Baseline Work]]))</f>
        <v/>
      </c>
      <c r="BM150" s="62" t="str">
        <f aca="false">IF(Tasks[[#This Row],[Task Name]]="","",IF(OR(TakeBaseline="Yes",N(Tasks[[#This Row],[Baseline Start]])=0),Tasks[[#This Row],[Start]],Tasks[[#This Row],[Baseline Start]]))</f>
        <v/>
      </c>
      <c r="BN150" s="62"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5" t="str">
        <f aca="false">IF(Tasks[[#This Row],[Task Name]]="","",IF(OR(TakeBaseline="Yes",N(Tasks[[#This Row],[Baseline Work]])=0),Tasks[[#This Row],[Work]],Tasks[[#This Row],[Baseline Work]]))</f>
        <v/>
      </c>
      <c r="BQ150" s="7"/>
      <c r="BR150" s="7"/>
      <c r="BS150" s="22"/>
      <c r="BT150" s="87"/>
      <c r="BU150" s="42" t="str">
        <f aca="false">IF(Tasks[[#This Row],[Task Name]]="","",MAX(1,N(Tasks[[#This Row],[Level]])))</f>
        <v/>
      </c>
      <c r="BV150" s="42" t="n">
        <f aca="false">ROW()-ROW(Tasks[[#Headers],[ID]])</f>
        <v>145</v>
      </c>
      <c r="BW150" s="42" t="n">
        <f aca="false">IF(OR(Tasks[[#This Row],[Task Name]]="",Tasks[[#This Row],[_Level]]&lt;=1),0,IFERROR(LOOKUP(2,1/(Tasks[[#Headers],[_Level]]:Tasks[[#This Row],[_Level]]=Tasks[[#This Row],[_Level]]-1),ROW(Tasks[[#Headers],[_Level]]:Tasks[[#This Row],[_Level]])),0))</f>
        <v>0</v>
      </c>
      <c r="BX150" s="42" t="n">
        <f aca="false">IFERROR(N(INDEX(Tasks[_Level],Tasks[[#This Row],[_Row]]+1)),0)</f>
        <v>0</v>
      </c>
      <c r="BY150" s="88" t="b">
        <f aca="false">AND(Tasks[[#This Row],[Task Name]]&lt;&gt;"",Tasks[[#This Row],[_NextLevel]]&gt;Tasks[[#This Row],[_Level]])</f>
        <v>0</v>
      </c>
      <c r="BZ150" s="42" t="n">
        <f aca="false">IF(Tasks[[#This Row],[_IsSummary]],COUNTIF(Tasks[WBS],Tasks[[#This Row],[WBS]]&amp;".*"),0)</f>
        <v>0</v>
      </c>
      <c r="CA150" s="42" t="n">
        <f aca="false">IF(AND(Tasks[[#This Row],[Task Name]]&lt;&gt;"",NOT(Tasks[[#This Row],[_IsSummary]])),1,0)</f>
        <v>0</v>
      </c>
      <c r="CB150" s="42" t="n">
        <f aca="false">IF(N(Tasks[[#This Row],[_Pred1UID]])=0,0,IFERROR(MATCH(Tasks[[#This Row],[_Pred1UID]],Tasks[UID],0),-1))</f>
        <v>0</v>
      </c>
      <c r="CC150" s="42" t="n">
        <f aca="false">IF(N(Tasks[[#This Row],[_Pred2UID]])=0,0,IFERROR(MATCH(Tasks[[#This Row],[_Pred2UID]],Tasks[UID],0),-1))</f>
        <v>0</v>
      </c>
      <c r="CD150" s="42" t="n">
        <f aca="false">IF(N(Tasks[[#This Row],[_Pred3UID]])=0,0,IFERROR(MATCH(Tasks[[#This Row],[_Pred3UID]],Tasks[UID],0),-1))</f>
        <v>0</v>
      </c>
      <c r="CE150" s="42" t="n">
        <f aca="false">IF(N(Tasks[[#This Row],[_Pred4UID]])=0,0,IFERROR(MATCH(Tasks[[#This Row],[_Pred4UID]],Tasks[UID],0),-1))</f>
        <v>0</v>
      </c>
      <c r="CF1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0" s="89" t="n">
        <f aca="false">IF(OR(Tasks[[#This Row],[_ConstraintCode]]=2,Tasks[[#This Row],[_ConstraintCode]]=3,Tasks[[#This Row],[_ConstraintCode]]=4,Tasks[[#This Row],[_ConstraintCode]]=6),Tasks[[#This Row],[_ConstraintStart]],0)</f>
        <v>0</v>
      </c>
      <c r="CI150" s="89" t="n">
        <f aca="false">IF(OR(Tasks[[#This Row],[_ConstraintCode]]=2,Tasks[[#This Row],[_ConstraintCode]]=3,Tasks[[#This Row],[_ConstraintCode]]=5,Tasks[[#This Row],[_ConstraintCode]]=7),Tasks[[#This Row],[_ConstraintStart]],2958465)</f>
        <v>2958465</v>
      </c>
      <c r="CJ1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0" s="89" t="str">
        <f aca="false">IF(NOT(Tasks[[#This Row],[_IsLeaf]]=1),"",IF(N(Tasks[[#This Row],[_Days]])&lt;=0,Tasks[[#This Row],[_LeafCalcStart]],WORKDAY.INTL(Tasks[[#This Row],[_LeafCalcStart]],Tasks[[#This Row],[_Days]]-1,WorkWeek,Holidays)))</f>
        <v/>
      </c>
      <c r="CL1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0" s="42" t="str">
        <f aca="false">IF(Tasks[[#This Row],[_Predecessors]]="","",TRIM(MID(SUBSTITUTE(SUBSTITUTE(SUBSTITUTE(UPPER(Tasks[[#This Row],[_Predecessors]]),";",",")," ",""),",",REPT(" ",99)),1,99)))</f>
        <v/>
      </c>
      <c r="CO150" s="42" t="str">
        <f aca="false">IF(Tasks[[#This Row],[_Pred1Text]]="","",IFERROR(VALUE(LEFT(Tasks[[#This Row],[_Pred1Text]],MIN(FIND("F",Tasks[[#This Row],[_Pred1Text]]&amp;"F"),FIND("S",Tasks[[#This Row],[_Pred1Text]]&amp;"S"),FIND("+",Tasks[[#This Row],[_Pred1Text]]&amp;"+"),FIND("-",Tasks[[#This Row],[_Pred1Text]]&amp;"-"))-1)),""))</f>
        <v/>
      </c>
      <c r="CP1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0" s="42" t="str">
        <f aca="false">IF(Tasks[[#This Row],[_Pred1Text]]="","",TRIM(MID(SUBSTITUTE(SUBSTITUTE(SUBSTITUTE(UPPER(Tasks[[#This Row],[_Predecessors]]),";",",")," ",""),",",REPT(" ",99)),100,99)))</f>
        <v/>
      </c>
      <c r="CS150" s="42" t="str">
        <f aca="false">IF(Tasks[[#This Row],[_Pred2Text]]="","",IFERROR(VALUE(LEFT(Tasks[[#This Row],[_Pred2Text]],MIN(FIND("F",Tasks[[#This Row],[_Pred2Text]]&amp;"F"),FIND("S",Tasks[[#This Row],[_Pred2Text]]&amp;"S"),FIND("+",Tasks[[#This Row],[_Pred2Text]]&amp;"+"),FIND("-",Tasks[[#This Row],[_Pred2Text]]&amp;"-"))-1)),""))</f>
        <v/>
      </c>
      <c r="CT1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0" s="42" t="str">
        <f aca="false">IF(Tasks[[#This Row],[_Pred2Text]]="","",TRIM(MID(SUBSTITUTE(SUBSTITUTE(SUBSTITUTE(UPPER(Tasks[[#This Row],[_Predecessors]]),";",",")," ",""),",",REPT(" ",99)),199,99)))</f>
        <v/>
      </c>
      <c r="CW150" s="42" t="str">
        <f aca="false">IF(Tasks[[#This Row],[_Pred3Text]]="","",IFERROR(VALUE(LEFT(Tasks[[#This Row],[_Pred3Text]],MIN(FIND("F",Tasks[[#This Row],[_Pred3Text]]&amp;"F"),FIND("S",Tasks[[#This Row],[_Pred3Text]]&amp;"S"),FIND("+",Tasks[[#This Row],[_Pred3Text]]&amp;"+"),FIND("-",Tasks[[#This Row],[_Pred3Text]]&amp;"-"))-1)),""))</f>
        <v/>
      </c>
      <c r="CX1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0" s="42" t="str">
        <f aca="false">IF(Tasks[[#This Row],[_Pred3Text]]="","",TRIM(MID(SUBSTITUTE(SUBSTITUTE(SUBSTITUTE(UPPER(Tasks[[#This Row],[_Predecessors]]),";",",")," ",""),",",REPT(" ",99)),298,99)))</f>
        <v/>
      </c>
      <c r="DA150" s="42" t="str">
        <f aca="false">IF(Tasks[[#This Row],[_Pred4Text]]="","",IFERROR(VALUE(LEFT(Tasks[[#This Row],[_Pred4Text]],MIN(FIND("F",Tasks[[#This Row],[_Pred4Text]]&amp;"F"),FIND("S",Tasks[[#This Row],[_Pred4Text]]&amp;"S"),FIND("+",Tasks[[#This Row],[_Pred4Text]]&amp;"+"),FIND("-",Tasks[[#This Row],[_Pred4Text]]&amp;"-"))-1)),""))</f>
        <v/>
      </c>
      <c r="DB1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0" s="42" t="str">
        <f aca="false">IF(OR(Tasks[[#This Row],[Task Name]]="",Tasks[[#This Row],[_Resources]]=""),"",TRIM(MID(SUBSTITUTE(Tasks[[#This Row],[_Resources]],",",REPT(" ",99)),1,99)))</f>
        <v/>
      </c>
      <c r="DE150" s="42" t="str">
        <f aca="false">IF(Tasks[[#This Row],[_Res1Text]]="","",TRIM(MID(SUBSTITUTE(Tasks[[#This Row],[_Resources]],",",REPT(" ",99)),100,99)))</f>
        <v/>
      </c>
      <c r="DF150" s="42" t="str">
        <f aca="false">IF(Tasks[[#This Row],[_Res2Text]]="","",TRIM(MID(SUBSTITUTE(Tasks[[#This Row],[_Resources]],",",REPT(" ",99)),199,99)))</f>
        <v/>
      </c>
      <c r="DG150" s="42" t="str">
        <f aca="false">IF(Tasks[[#This Row],[_Res3Text]]="","",TRIM(MID(SUBSTITUTE(Tasks[[#This Row],[_Resources]],",",REPT(" ",99)),298,99)))</f>
        <v/>
      </c>
      <c r="DH150" s="42" t="n">
        <f aca="false">IF(Tasks[[#This Row],[_Res1Text]]="",0,IFERROR(MATCH(TRIM(LEFT(Tasks[[#This Row],[_Res1Text]],FIND("[",Tasks[[#This Row],[_Res1Text]]&amp;"[")-1)),res_Name,0),IFERROR(MATCH(TRIM(LEFT(Tasks[[#This Row],[_Res1Text]],FIND("[",Tasks[[#This Row],[_Res1Text]]&amp;"[")-1)),res_Initials,0),0)))</f>
        <v>0</v>
      </c>
      <c r="DI150" s="42" t="n">
        <f aca="false">IF(Tasks[[#This Row],[_Res2Text]]="",0,IFERROR(MATCH(TRIM(LEFT(Tasks[[#This Row],[_Res2Text]],FIND("[",Tasks[[#This Row],[_Res2Text]]&amp;"[")-1)),res_Name,0),IFERROR(MATCH(TRIM(LEFT(Tasks[[#This Row],[_Res2Text]],FIND("[",Tasks[[#This Row],[_Res2Text]]&amp;"[")-1)),res_Initials,0),0)))</f>
        <v>0</v>
      </c>
      <c r="DJ150" s="42" t="n">
        <f aca="false">IF(Tasks[[#This Row],[_Res3Text]]="",0,IFERROR(MATCH(TRIM(LEFT(Tasks[[#This Row],[_Res3Text]],FIND("[",Tasks[[#This Row],[_Res3Text]]&amp;"[")-1)),res_Name,0),IFERROR(MATCH(TRIM(LEFT(Tasks[[#This Row],[_Res3Text]],FIND("[",Tasks[[#This Row],[_Res3Text]]&amp;"[")-1)),res_Initials,0),0)))</f>
        <v>0</v>
      </c>
      <c r="DK150" s="42" t="n">
        <f aca="false">IF(Tasks[[#This Row],[_Res4Text]]="",0,IFERROR(MATCH(TRIM(LEFT(Tasks[[#This Row],[_Res4Text]],FIND("[",Tasks[[#This Row],[_Res4Text]]&amp;"[")-1)),res_Name,0),IFERROR(MATCH(TRIM(LEFT(Tasks[[#This Row],[_Res4Text]],FIND("[",Tasks[[#This Row],[_Res4Text]]&amp;"[")-1)),res_Initials,0),0)))</f>
        <v>0</v>
      </c>
      <c r="DL150" s="42" t="str">
        <f aca="false">IF(Tasks[[#This Row],[_Res1Text]]="","",IF(Tasks[[#This Row],[_Res1Row]]&gt;0,INDEX(res_Name,Tasks[[#This Row],[_Res1Row]]),TRIM(LEFT(Tasks[[#This Row],[_Res1Text]],FIND("[",Tasks[[#This Row],[_Res1Text]]&amp;"[")-1))))</f>
        <v/>
      </c>
      <c r="DM1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0" s="42" t="n">
        <f aca="false">IF(NOT(Tasks[[#This Row],[_IsLeaf]]=1),0,(Tasks[[#This Row],[_Resource1]]&lt;&gt;"")+(Tasks[[#This Row],[_Res2]]&lt;&gt;"")+(Tasks[[#This Row],[_Res3]]&lt;&gt;"")+(Tasks[[#This Row],[_Res4]]&lt;&gt;""))</f>
        <v>0</v>
      </c>
      <c r="DO150" s="42" t="str">
        <f aca="false">IF(Tasks[[#This Row],[_Res2Text]]="","",IF(Tasks[[#This Row],[_Res2Row]]&gt;0,INDEX(res_Name,Tasks[[#This Row],[_Res2Row]]),TRIM(LEFT(Tasks[[#This Row],[_Res2Text]],FIND("[",Tasks[[#This Row],[_Res2Text]]&amp;"[")-1))))</f>
        <v/>
      </c>
      <c r="DP1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0" s="42" t="n">
        <f aca="false">IF(OR(NOT(Tasks[[#This Row],[_IsLeaf]]=1),Tasks[[#This Row],[_Res2Row]]=0),0,N(Tasks[[#This Row],[_Days]])*HoursPerDay*IF(Tasks[[#This Row],[_Res2Units]]="",DefaultUnits,Tasks[[#This Row],[_Res2Units]]))</f>
        <v>0</v>
      </c>
      <c r="DR150" s="42" t="n">
        <f aca="false">IF(AND(AND(Tasks[[#This Row],[_IsLeaf]]=1,Tasks[[#This Row],[_LeafTotalWork]]&gt;0),Tasks[[#This Row],[_Res2Work]]&gt;0),Tasks[[#This Row],[_Res2Work]]/(Tasks[[#This Row],[_FinishWorkday]]-Tasks[[#This Row],[_StartWorkday]]+1),0)</f>
        <v>0</v>
      </c>
      <c r="DS150" s="42" t="n">
        <f aca="false">Tasks[[#This Row],[_Res2WorkPerWD]]*MAX(0,Tasks[[#This Row],[_StartWorkday]]-1)</f>
        <v>0</v>
      </c>
      <c r="DT150" s="42" t="n">
        <f aca="false">Tasks[[#This Row],[_Res2Work]]*Tasks[[#This Row],[_LeafProgress]]</f>
        <v>0</v>
      </c>
      <c r="DU150" s="42" t="str">
        <f aca="false">IF(Tasks[[#This Row],[_Res3Text]]="","",IF(Tasks[[#This Row],[_Res3Row]]&gt;0,INDEX(res_Name,Tasks[[#This Row],[_Res3Row]]),TRIM(LEFT(Tasks[[#This Row],[_Res3Text]],FIND("[",Tasks[[#This Row],[_Res3Text]]&amp;"[")-1))))</f>
        <v/>
      </c>
      <c r="DV1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0" s="42" t="n">
        <f aca="false">IF(OR(NOT(Tasks[[#This Row],[_IsLeaf]]=1),Tasks[[#This Row],[_Res3Row]]=0),0,N(Tasks[[#This Row],[_Days]])*HoursPerDay*IF(Tasks[[#This Row],[_Res3Units]]="",DefaultUnits,Tasks[[#This Row],[_Res3Units]]))</f>
        <v>0</v>
      </c>
      <c r="DX150" s="42" t="n">
        <f aca="false">IF(AND(AND(Tasks[[#This Row],[_IsLeaf]]=1,Tasks[[#This Row],[_LeafTotalWork]]&gt;0),Tasks[[#This Row],[_Res3Work]]&gt;0),Tasks[[#This Row],[_Res3Work]]/(Tasks[[#This Row],[_FinishWorkday]]-Tasks[[#This Row],[_StartWorkday]]+1),0)</f>
        <v>0</v>
      </c>
      <c r="DY150" s="42" t="n">
        <f aca="false">Tasks[[#This Row],[_Res3WorkPerWD]]*MAX(0,Tasks[[#This Row],[_StartWorkday]]-1)</f>
        <v>0</v>
      </c>
      <c r="DZ150" s="42" t="n">
        <f aca="false">Tasks[[#This Row],[_Res3Work]]*Tasks[[#This Row],[_LeafProgress]]</f>
        <v>0</v>
      </c>
      <c r="EA150" s="42" t="str">
        <f aca="false">IF(Tasks[[#This Row],[_Res4Text]]="","",IF(Tasks[[#This Row],[_Res4Row]]&gt;0,INDEX(res_Name,Tasks[[#This Row],[_Res4Row]]),TRIM(LEFT(Tasks[[#This Row],[_Res4Text]],FIND("[",Tasks[[#This Row],[_Res4Text]]&amp;"[")-1))))</f>
        <v/>
      </c>
      <c r="EB1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0" s="42" t="n">
        <f aca="false">IF(OR(NOT(Tasks[[#This Row],[_IsLeaf]]=1),Tasks[[#This Row],[_Res4Row]]=0),0,N(Tasks[[#This Row],[_Days]])*HoursPerDay*IF(Tasks[[#This Row],[_Res4Units]]="",DefaultUnits,Tasks[[#This Row],[_Res4Units]]))</f>
        <v>0</v>
      </c>
      <c r="ED150" s="42" t="n">
        <f aca="false">IF(AND(AND(Tasks[[#This Row],[_IsLeaf]]=1,Tasks[[#This Row],[_LeafTotalWork]]&gt;0),Tasks[[#This Row],[_Res4Work]]&gt;0),Tasks[[#This Row],[_Res4Work]]/(Tasks[[#This Row],[_FinishWorkday]]-Tasks[[#This Row],[_StartWorkday]]+1),0)</f>
        <v>0</v>
      </c>
      <c r="EE150" s="42" t="n">
        <f aca="false">Tasks[[#This Row],[_Res4WorkPerWD]]*MAX(0,Tasks[[#This Row],[_StartWorkday]]-1)</f>
        <v>0</v>
      </c>
      <c r="EF150" s="42" t="n">
        <f aca="false">Tasks[[#This Row],[_Res4Work]]*Tasks[[#This Row],[_LeafProgress]]</f>
        <v>0</v>
      </c>
      <c r="EG150" s="42" t="n">
        <f aca="false">IF(ISNUMBER(Tasks[[#This Row],[% Complete]]),Tasks[[#This Row],[% Complete]],IF(Tasks[[#This Row],[Stage]]="",0,IFERROR(INDEX(stg_Pct,MATCH(Tasks[[#This Row],[Stage]],stg_Name,0)),0)))</f>
        <v>0</v>
      </c>
      <c r="EH150" s="42" t="n">
        <f aca="false">IF(NOT(Tasks[[#This Row],[_IsLeaf]]=1),0,IF(N(Tasks[[#This Row],[Actual Finish]])&gt;0,1,MIN(1,Tasks[[#This Row],[_Pct]])))</f>
        <v>0</v>
      </c>
      <c r="EI150" s="42" t="n">
        <f aca="false">IF(OR(NOT(Tasks[[#This Row],[_IsLeaf]]=1),Tasks[[#This Row],[_Res1Row]]=0),0,N(Tasks[[#This Row],[_Days]])*HoursPerDay*IF(Tasks[[#This Row],[_Units1]]="",DefaultUnits,Tasks[[#This Row],[_Units1]]))</f>
        <v>0</v>
      </c>
      <c r="EJ150" s="42" t="n">
        <f aca="false">Tasks[[#This Row],[_LeafWork]]+Tasks[[#This Row],[_Res2Work]]+Tasks[[#This Row],[_Res3Work]]+Tasks[[#This Row],[_Res4Work]]</f>
        <v>0</v>
      </c>
      <c r="EK1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0" s="42" t="n">
        <f aca="false">IF(NOT(Tasks[[#This Row],[_IsLeaf]]=1),0,MAX(_xlfn.MAXIFS(Tasks[_Row],Tasks[_Pred1UID],Tasks[[#This Row],[UID]]),_xlfn.MAXIFS(Tasks[_Row],Tasks[_Pred2UID],Tasks[[#This Row],[UID]]),_xlfn.MAXIFS(Tasks[_Row],Tasks[_Pred3UID],Tasks[[#This Row],[UID]]),_xlfn.MAXIFS(Tasks[_Row],Tasks[_Pred4UID],Tasks[[#This Row],[UID]])))</f>
        <v>0</v>
      </c>
      <c r="ET1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0" s="89" t="str">
        <f aca="false">IF(NOT(Tasks[[#This Row],[_IsLeaf]]=1),"",IF(N(Tasks[[#This Row],[_Days]])&lt;=0,Tasks[[#This Row],[_LeafLateFinish]],WORKDAY.INTL(Tasks[[#This Row],[_LeafLateFinish]],-(Tasks[[#This Row],[_Days]]-1),WorkWeek,Holidays)))</f>
        <v/>
      </c>
      <c r="EW1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0" s="88" t="b">
        <f aca="false">AND(Tasks[[#This Row],[_IsLeaf]]=1,Tasks[[#This Row],[_LeafProgress]]&lt;1,N(Tasks[[#This Row],[_LeafTotalSlack]])&lt;=CriticalSlackDays)</f>
        <v>0</v>
      </c>
      <c r="EY150" s="42" t="n">
        <f aca="false">IF(AND(Tasks[[#This Row],[_IsLeaf]]=1,Tasks[[#This Row],[_ConstraintCode]]=1,Tasks[[#This Row],[Mode]]&lt;&gt;"Manual",N(Tasks[[#This Row],[Actual Start]])=0),MAX(0,N(Tasks[[#This Row],[Free Slack]])),0)</f>
        <v>0</v>
      </c>
      <c r="EZ150" s="89" t="str">
        <f aca="false">IF(NOT(Tasks[[#This Row],[_IsLeaf]]=1),"",IF(Tasks[[#This Row],[_AlapShift]]=0,Tasks[[#This Row],[_LeafCalcStart]],WORKDAY.INTL(Tasks[[#This Row],[_LeafCalcStart]],Tasks[[#This Row],[_AlapShift]],WorkWeek,Holidays)))</f>
        <v/>
      </c>
      <c r="FA150" s="89" t="str">
        <f aca="false">IF(NOT(Tasks[[#This Row],[_IsLeaf]]=1),"",IF(Tasks[[#This Row],[_AlapShift]]=0,Tasks[[#This Row],[_LeafCalcFinish]],WORKDAY.INTL(Tasks[[#This Row],[_LeafCalcFinish]],Tasks[[#This Row],[_AlapShift]],WorkWeek,Holidays)))</f>
        <v/>
      </c>
      <c r="FB150" s="89" t="str">
        <f aca="false">IF(NOT(Tasks[[#This Row],[_IsLeaf]]=1),"",IF(Tasks[[#This Row],[_AlapShift]]=0,Tasks[[#This Row],[_LeafFcstStart]],WORKDAY.INTL(Tasks[[#This Row],[_LeafFcstStart]],Tasks[[#This Row],[_AlapShift]],WorkWeek,Holidays)))</f>
        <v/>
      </c>
      <c r="FC150" s="89" t="str">
        <f aca="false">IF(NOT(Tasks[[#This Row],[_IsLeaf]]=1),"",IF(Tasks[[#This Row],[_AlapShift]]=0,Tasks[[#This Row],[_LeafFcstFinish]],WORKDAY.INTL(Tasks[[#This Row],[_LeafFcstFinish]],Tasks[[#This Row],[_AlapShift]],WorkWeek,Holidays)))</f>
        <v/>
      </c>
      <c r="FD150" s="89" t="str">
        <f aca="false">IF(Tasks[[#This Row],[Task Name]]="","",IF(Tasks[[#This Row],[_IsSummary]],MIN(INDEX(Tasks[_ShownCalcStart],Tasks[[#This Row],[_Row]]+1):INDEX(Tasks[_ShownCalcStart],Tasks[[#This Row],[_Row]]+Tasks[[#This Row],[_Descendants]])),Tasks[[#This Row],[_ShownCalcStart]]))</f>
        <v/>
      </c>
      <c r="FE150" s="89" t="str">
        <f aca="false">IF(Tasks[[#This Row],[Task Name]]="","",IF(Tasks[[#This Row],[_IsSummary]],MAX(INDEX(Tasks[_ShownCalcFinish],Tasks[[#This Row],[_Row]]+1):INDEX(Tasks[_ShownCalcFinish],Tasks[[#This Row],[_Row]]+Tasks[[#This Row],[_Descendants]])),Tasks[[#This Row],[_ShownCalcFinish]]))</f>
        <v/>
      </c>
      <c r="FF1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0" s="42" t="n">
        <f aca="false">IF(AND(Tasks[[#This Row],[_IsLeaf]]=1,Tasks[[#This Row],[_LeafTotalWork]]&gt;0),NETWORKDAYS.INTL(ProjectStart,Tasks[[#This Row],[_ShownFcstStart]],WorkWeek,Holidays),0)</f>
        <v>0</v>
      </c>
      <c r="FS150" s="42" t="n">
        <f aca="false">IF(AND(Tasks[[#This Row],[_IsLeaf]]=1,Tasks[[#This Row],[_LeafTotalWork]]&gt;0),MAX(Tasks[[#This Row],[_StartWorkday]],NETWORKDAYS.INTL(ProjectStart,Tasks[[#This Row],[_ShownFcstFinish]],WorkWeek,Holidays)),0)</f>
        <v>0</v>
      </c>
      <c r="FT150" s="42" t="n">
        <f aca="false">IF(AND(Tasks[[#This Row],[_IsLeaf]]=1,Tasks[[#This Row],[_LeafTotalWork]]&gt;0),Tasks[[#This Row],[_LeafWork]]/(Tasks[[#This Row],[_FinishWorkday]]-Tasks[[#This Row],[_StartWorkday]]+1),0)</f>
        <v>0</v>
      </c>
      <c r="FU150" s="42" t="n">
        <f aca="false">Tasks[[#This Row],[_WorkPerWorkday]]*(Tasks[[#This Row],[_StartWorkday]]-1)</f>
        <v>-0</v>
      </c>
      <c r="FV150" s="42" t="n">
        <f aca="false">IF(Tasks[[#This Row],[_IsLeaf]]=1,MAX(N(Tasks[[#This Row],[_Days]]),0.1),0)</f>
        <v>0</v>
      </c>
      <c r="FW150" s="42" t="n">
        <f aca="false">Tasks[[#This Row],[_WeightDur]]*Tasks[[#This Row],[_LeafProgress]]</f>
        <v>0</v>
      </c>
      <c r="FX150" s="42" t="n">
        <f aca="false">Tasks[[#This Row],[_WeightDur]]*Tasks[[#This Row],[_PlannedPct]]</f>
        <v>0</v>
      </c>
      <c r="FY1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0" s="42" t="str">
        <f aca="false">IF(AND(Tasks[[#This Row],[_IsLeaf]]=1,N(Tasks[[#This Row],[_Days]])=0,Tasks[[#This Row],[_LeafProgress]]&lt;1),Tasks[[#This Row],[_ShownFcstFinish]]+Tasks[[#This Row],[_Row]]/100000,"")</f>
        <v/>
      </c>
      <c r="GA1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0" s="42" t="str">
        <f aca="false">IF(Tasks[[#This Row],[Task Name]]="","",LEFT(Tasks[[#This Row],[WBS]],FIND(".",Tasks[[#This Row],[WBS]]&amp;".")-1))</f>
        <v/>
      </c>
      <c r="GC150" s="42" t="str">
        <f aca="false">IF(AND(Tasks[[#This Row],[Task Name]]&lt;&gt;"",Tasks[[#This Row],[_Level]]=1),Tasks[[#This Row],[_Row]],"")</f>
        <v/>
      </c>
      <c r="GD150" s="42" t="str">
        <f aca="false">IF(AND(Tasks[[#This Row],[_IsLeaf]]=1,N(Tasks[[#This Row],[_Days]])=0),Tasks[[#This Row],[Planned Finish]]+Tasks[[#This Row],[_Row]]/100000,"")</f>
        <v/>
      </c>
      <c r="GE150" s="42" t="str">
        <f aca="false">IF(AND(Tasks[[#This Row],[_IsLeaf]]=1,Tasks[[#This Row],[_LeafProgress]]&lt;1,OR(N(Tasks[[#This Row],[Finish Var]])&gt;0,Tasks[[#This Row],[Status]]="Late Start")),MAX(0,Tasks[[#This Row],[Finish Var]])+1-Tasks[[#This Row],[_Row]]/1000000,"")</f>
        <v/>
      </c>
      <c r="GF150" s="42" t="str">
        <f aca="false">IF(AND(Tasks[[#This Row],[_IsLeaf]]=1,N(Tasks[[#This Row],[Actual Start]])=0,Tasks[[#This Row],[_ShownFcstStart]]&gt;=StatusDate,Tasks[[#This Row],[_ShownFcstStart]]&lt;=LookaheadEnd),Tasks[[#This Row],[_ShownFcstStart]]+Tasks[[#This Row],[_Row]]/100000,"")</f>
        <v/>
      </c>
      <c r="GG150" s="42" t="str">
        <f aca="false">IF(AND(Tasks[[#This Row],[_IsLeaf]]=1,Tasks[[#This Row],[_LeafProgress]]&lt;1,Tasks[[#This Row],[_ShownFcstFinish]]&gt;=StatusDate,Tasks[[#This Row],[_ShownFcstFinish]]&lt;=LookaheadEnd),Tasks[[#This Row],[_ShownFcstFinish]]+Tasks[[#This Row],[_Row]]/100000,"")</f>
        <v/>
      </c>
      <c r="GH150" s="42" t="str">
        <f aca="false">IF(Tasks[[#This Row],[_LeafCritical]],Tasks[[#This Row],[_ShownFcstStart]]+Tasks[[#This Row],[_Row]]/100000,"")</f>
        <v/>
      </c>
      <c r="GI150" s="42" t="n">
        <f aca="false">Tasks[[#This Row],[_LeafWork]]*Tasks[[#This Row],[_LeafProgress]]</f>
        <v>0</v>
      </c>
      <c r="GJ150" s="89" t="str">
        <f aca="false">IF(AND(Tasks[[#This Row],[_IsLeaf]]=1,Tasks[[#This Row],[_LeafProgress]]&gt;=1),IF(N(Tasks[[#This Row],[Actual Finish]])&gt;0,Tasks[[#This Row],[Actual Finish]],Tasks[[#This Row],[_ShownFcstFinish]]),"")</f>
        <v/>
      </c>
      <c r="GK150" s="42" t="n">
        <f aca="false">IF(Tasks[[#This Row],[_IsLeaf]]=1,N(Tasks[[#This Row],[Story Points]]),0)</f>
        <v>0</v>
      </c>
      <c r="GL150" s="42" t="str">
        <f aca="false">""</f>
        <v/>
      </c>
      <c r="GM150" s="88" t="b">
        <f aca="false">IF(Tasks[[#This Row],[Task Name]]="",FALSE(),AND(Tasks[[#This Row],[_IsLeaf]]=1,N(Tasks[[#This Row],[_Days]])=0))</f>
        <v>0</v>
      </c>
      <c r="GN150" s="89" t="n">
        <f aca="false">IF(Tasks[[#This Row],[Task Name]]="",0,IF(AND(Tasks[[#This Row],[_IsLeaf]]=1,NOT(Tasks[[#This Row],[_IsMilestone]]),N(Tasks[[#This Row],[Progress]])&gt;0),Tasks[[#This Row],[Start]],0))</f>
        <v>0</v>
      </c>
      <c r="GO150" s="89" t="n">
        <f aca="false">IF(Tasks[[#This Row],[_DoneFrom]]=0,0,IF(Tasks[[#This Row],[Progress]]&gt;=1,Tasks[[#This Row],[Finish]],MAX(Tasks[[#This Row],[_DoneFrom]],Tasks[[#This Row],[Start]]+ROUND((Tasks[[#This Row],[Finish]]-Tasks[[#This Row],[Start]]+1)*Tasks[[#This Row],[Progress]],0)-1)))</f>
        <v>0</v>
      </c>
      <c r="GP150" s="89" t="n">
        <f aca="false">IF(Tasks[[#This Row],[Task Name]]="",0,IF(OR(NOT(Tasks[[#This Row],[_IsLeaf]]=1),Tasks[[#This Row],[_IsMilestone]],N(Tasks[[#This Row],[Progress]])&gt;=1),0,IF(Tasks[[#This Row],[_DoneTo]]&gt;0,Tasks[[#This Row],[_DoneTo]]+1,Tasks[[#This Row],[Start]])))</f>
        <v>0</v>
      </c>
      <c r="GQ150" s="89" t="n">
        <f aca="false">IF(Tasks[[#This Row],[_RemFrom]]=0,0,Tasks[[#This Row],[Finish]])</f>
        <v>0</v>
      </c>
      <c r="GR150" s="88" t="b">
        <f aca="false">IF(Tasks[[#This Row],[Task Name]]="",FALSE(),OR(NOT(BaselineSet),N(Tasks[[#This Row],[Baseline Start]])&gt;0))</f>
        <v>0</v>
      </c>
      <c r="GS1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0" s="90" t="str">
        <f aca="false">IF(Tasks[[#This Row],[_IsLeaf]]=1,Tasks[[#This Row],[_Row]],"")</f>
        <v/>
      </c>
      <c r="GW150" s="90" t="str">
        <f aca="false">IFERROR(INDEX(Tasks[UID],SMALL(Tasks[_PickKey],Tasks[[#This Row],[_Row]]))&amp;" "&amp;INDEX(Tasks[Task Name],SMALL(Tasks[_PickKey],Tasks[[#This Row],[_Row]])),"")</f>
        <v/>
      </c>
      <c r="GX150" s="42" t="str">
        <f aca="false">IF(Tasks[[#This Row],[Task Name]]="","",IF(Tasks[[#This Row],[_IsSummary]],NETWORKDAYS.INTL(Tasks[[#This Row],[Start]],Tasks[[#This Row],[Finish]],WorkWeek,Holidays),N(Tasks[[#This Row],[_Days]])))</f>
        <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3"/>
      <c r="U151" s="23"/>
      <c r="V151" s="83"/>
      <c r="W151" s="23"/>
      <c r="X151" s="83"/>
      <c r="Y151" s="23"/>
      <c r="Z151" s="83"/>
      <c r="AA151" s="23"/>
      <c r="AB151" s="23"/>
      <c r="AC151" s="7"/>
      <c r="AD151" s="7"/>
      <c r="AE151" s="62" t="str">
        <f aca="false">IF(Tasks[[#This Row],[Task Name]]="","",IF(Tasks[[#This Row],[_IsSummary]],MIN(INDEX(Tasks[_ShownFcstStart],Tasks[[#This Row],[_Row]]+1):INDEX(Tasks[_ShownFcstStart],Tasks[[#This Row],[_Row]]+Tasks[[#This Row],[_Descendants]])),Tasks[[#This Row],[_ShownFcstStart]]))</f>
        <v/>
      </c>
      <c r="AF151" s="62"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1" s="7"/>
      <c r="AK151" s="22"/>
      <c r="AL151" s="23"/>
      <c r="AM151" s="7"/>
      <c r="AN151" s="46"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2" t="str">
        <f aca="false">IF(Tasks[[#This Row],[Task Name]]="","",IF(N(Tasks[[#This Row],[Baseline Start]])&gt;0,Tasks[[#This Row],[Baseline Start]],Tasks[[#This Row],[_CalcStart]]))</f>
        <v/>
      </c>
      <c r="AR151" s="62" t="str">
        <f aca="false">IF(Tasks[[#This Row],[Task Name]]="","",IF(N(Tasks[[#This Row],[Baseline Finish]])&gt;0,Tasks[[#This Row],[Baseline Finish]],Tasks[[#This Row],[_CalcFinish]]))</f>
        <v/>
      </c>
      <c r="AS151" s="46" t="str">
        <f aca="false">IF(Tasks[[#This Row],[Task Name]]="","",IF(Tasks[[#This Row],[Start]]&gt;=Tasks[[#This Row],[Planned Start]],NETWORKDAYS.INTL(Tasks[[#This Row],[Planned Start]],Tasks[[#This Row],[Start]],WorkWeek,Holidays)-1,1-NETWORKDAYS.INTL(Tasks[[#This Row],[Start]],Tasks[[#This Row],[Planned Start]],WorkWeek,Holidays)))</f>
        <v/>
      </c>
      <c r="AT151" s="62" t="str">
        <f aca="false">IF(Tasks[[#This Row],[Task Name]]="","",IF(Tasks[[#This Row],[_IsSummary]],MIN(INDEX(Tasks[_LeafLateStart],Tasks[[#This Row],[_Row]]+1):INDEX(Tasks[_LeafLateStart],Tasks[[#This Row],[_Row]]+Tasks[[#This Row],[_Descendants]])),Tasks[[#This Row],[_LeafLateStart]]))</f>
        <v/>
      </c>
      <c r="AU151" s="62" t="str">
        <f aca="false">IF(Tasks[[#This Row],[Task Name]]="","",IF(Tasks[[#This Row],[_IsSummary]],MAX(INDEX(Tasks[_LeafLateFinish],Tasks[[#This Row],[_Row]]+1):INDEX(Tasks[_LeafLateFinish],Tasks[[#This Row],[_Row]]+Tasks[[#This Row],[_Descendants]])),Tasks[[#This Row],[_LeafLateFinish]]))</f>
        <v/>
      </c>
      <c r="AV151" s="46"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4"/>
      <c r="BA1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5"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6"/>
      <c r="BJ151" s="22"/>
      <c r="BK151" s="46" t="str">
        <f aca="false">IF(OR(Tasks[[#This Row],[Task Name]]="",Tasks[[#This Row],[Baseline Duration]]=""),"",Tasks[[#This Row],[_SpanDays]]-N(Tasks[[#This Row],[Baseline Duration]]))</f>
        <v/>
      </c>
      <c r="BL151" s="85" t="str">
        <f aca="false">IF(OR(Tasks[[#This Row],[Task Name]]="",Tasks[[#This Row],[Baseline Work]]=""),"",Tasks[[#This Row],[Work]]-N(Tasks[[#This Row],[Baseline Work]]))</f>
        <v/>
      </c>
      <c r="BM151" s="62" t="str">
        <f aca="false">IF(Tasks[[#This Row],[Task Name]]="","",IF(OR(TakeBaseline="Yes",N(Tasks[[#This Row],[Baseline Start]])=0),Tasks[[#This Row],[Start]],Tasks[[#This Row],[Baseline Start]]))</f>
        <v/>
      </c>
      <c r="BN151" s="62"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5" t="str">
        <f aca="false">IF(Tasks[[#This Row],[Task Name]]="","",IF(OR(TakeBaseline="Yes",N(Tasks[[#This Row],[Baseline Work]])=0),Tasks[[#This Row],[Work]],Tasks[[#This Row],[Baseline Work]]))</f>
        <v/>
      </c>
      <c r="BQ151" s="7"/>
      <c r="BR151" s="7"/>
      <c r="BS151" s="22"/>
      <c r="BT151" s="87"/>
      <c r="BU151" s="42" t="str">
        <f aca="false">IF(Tasks[[#This Row],[Task Name]]="","",MAX(1,N(Tasks[[#This Row],[Level]])))</f>
        <v/>
      </c>
      <c r="BV151" s="42" t="n">
        <f aca="false">ROW()-ROW(Tasks[[#Headers],[ID]])</f>
        <v>146</v>
      </c>
      <c r="BW151" s="42" t="n">
        <f aca="false">IF(OR(Tasks[[#This Row],[Task Name]]="",Tasks[[#This Row],[_Level]]&lt;=1),0,IFERROR(LOOKUP(2,1/(Tasks[[#Headers],[_Level]]:Tasks[[#This Row],[_Level]]=Tasks[[#This Row],[_Level]]-1),ROW(Tasks[[#Headers],[_Level]]:Tasks[[#This Row],[_Level]])),0))</f>
        <v>0</v>
      </c>
      <c r="BX151" s="42" t="n">
        <f aca="false">IFERROR(N(INDEX(Tasks[_Level],Tasks[[#This Row],[_Row]]+1)),0)</f>
        <v>0</v>
      </c>
      <c r="BY151" s="88" t="b">
        <f aca="false">AND(Tasks[[#This Row],[Task Name]]&lt;&gt;"",Tasks[[#This Row],[_NextLevel]]&gt;Tasks[[#This Row],[_Level]])</f>
        <v>0</v>
      </c>
      <c r="BZ151" s="42" t="n">
        <f aca="false">IF(Tasks[[#This Row],[_IsSummary]],COUNTIF(Tasks[WBS],Tasks[[#This Row],[WBS]]&amp;".*"),0)</f>
        <v>0</v>
      </c>
      <c r="CA151" s="42" t="n">
        <f aca="false">IF(AND(Tasks[[#This Row],[Task Name]]&lt;&gt;"",NOT(Tasks[[#This Row],[_IsSummary]])),1,0)</f>
        <v>0</v>
      </c>
      <c r="CB151" s="42" t="n">
        <f aca="false">IF(N(Tasks[[#This Row],[_Pred1UID]])=0,0,IFERROR(MATCH(Tasks[[#This Row],[_Pred1UID]],Tasks[UID],0),-1))</f>
        <v>0</v>
      </c>
      <c r="CC151" s="42" t="n">
        <f aca="false">IF(N(Tasks[[#This Row],[_Pred2UID]])=0,0,IFERROR(MATCH(Tasks[[#This Row],[_Pred2UID]],Tasks[UID],0),-1))</f>
        <v>0</v>
      </c>
      <c r="CD151" s="42" t="n">
        <f aca="false">IF(N(Tasks[[#This Row],[_Pred3UID]])=0,0,IFERROR(MATCH(Tasks[[#This Row],[_Pred3UID]],Tasks[UID],0),-1))</f>
        <v>0</v>
      </c>
      <c r="CE151" s="42" t="n">
        <f aca="false">IF(N(Tasks[[#This Row],[_Pred4UID]])=0,0,IFERROR(MATCH(Tasks[[#This Row],[_Pred4UID]],Tasks[UID],0),-1))</f>
        <v>0</v>
      </c>
      <c r="CF1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1" s="89" t="n">
        <f aca="false">IF(OR(Tasks[[#This Row],[_ConstraintCode]]=2,Tasks[[#This Row],[_ConstraintCode]]=3,Tasks[[#This Row],[_ConstraintCode]]=4,Tasks[[#This Row],[_ConstraintCode]]=6),Tasks[[#This Row],[_ConstraintStart]],0)</f>
        <v>0</v>
      </c>
      <c r="CI151" s="89" t="n">
        <f aca="false">IF(OR(Tasks[[#This Row],[_ConstraintCode]]=2,Tasks[[#This Row],[_ConstraintCode]]=3,Tasks[[#This Row],[_ConstraintCode]]=5,Tasks[[#This Row],[_ConstraintCode]]=7),Tasks[[#This Row],[_ConstraintStart]],2958465)</f>
        <v>2958465</v>
      </c>
      <c r="CJ1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1" s="89" t="str">
        <f aca="false">IF(NOT(Tasks[[#This Row],[_IsLeaf]]=1),"",IF(N(Tasks[[#This Row],[_Days]])&lt;=0,Tasks[[#This Row],[_LeafCalcStart]],WORKDAY.INTL(Tasks[[#This Row],[_LeafCalcStart]],Tasks[[#This Row],[_Days]]-1,WorkWeek,Holidays)))</f>
        <v/>
      </c>
      <c r="CL1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1" s="42" t="str">
        <f aca="false">IF(Tasks[[#This Row],[_Predecessors]]="","",TRIM(MID(SUBSTITUTE(SUBSTITUTE(SUBSTITUTE(UPPER(Tasks[[#This Row],[_Predecessors]]),";",",")," ",""),",",REPT(" ",99)),1,99)))</f>
        <v/>
      </c>
      <c r="CO151" s="42" t="str">
        <f aca="false">IF(Tasks[[#This Row],[_Pred1Text]]="","",IFERROR(VALUE(LEFT(Tasks[[#This Row],[_Pred1Text]],MIN(FIND("F",Tasks[[#This Row],[_Pred1Text]]&amp;"F"),FIND("S",Tasks[[#This Row],[_Pred1Text]]&amp;"S"),FIND("+",Tasks[[#This Row],[_Pred1Text]]&amp;"+"),FIND("-",Tasks[[#This Row],[_Pred1Text]]&amp;"-"))-1)),""))</f>
        <v/>
      </c>
      <c r="CP1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1" s="42" t="str">
        <f aca="false">IF(Tasks[[#This Row],[_Pred1Text]]="","",TRIM(MID(SUBSTITUTE(SUBSTITUTE(SUBSTITUTE(UPPER(Tasks[[#This Row],[_Predecessors]]),";",",")," ",""),",",REPT(" ",99)),100,99)))</f>
        <v/>
      </c>
      <c r="CS151" s="42" t="str">
        <f aca="false">IF(Tasks[[#This Row],[_Pred2Text]]="","",IFERROR(VALUE(LEFT(Tasks[[#This Row],[_Pred2Text]],MIN(FIND("F",Tasks[[#This Row],[_Pred2Text]]&amp;"F"),FIND("S",Tasks[[#This Row],[_Pred2Text]]&amp;"S"),FIND("+",Tasks[[#This Row],[_Pred2Text]]&amp;"+"),FIND("-",Tasks[[#This Row],[_Pred2Text]]&amp;"-"))-1)),""))</f>
        <v/>
      </c>
      <c r="CT1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1" s="42" t="str">
        <f aca="false">IF(Tasks[[#This Row],[_Pred2Text]]="","",TRIM(MID(SUBSTITUTE(SUBSTITUTE(SUBSTITUTE(UPPER(Tasks[[#This Row],[_Predecessors]]),";",",")," ",""),",",REPT(" ",99)),199,99)))</f>
        <v/>
      </c>
      <c r="CW151" s="42" t="str">
        <f aca="false">IF(Tasks[[#This Row],[_Pred3Text]]="","",IFERROR(VALUE(LEFT(Tasks[[#This Row],[_Pred3Text]],MIN(FIND("F",Tasks[[#This Row],[_Pred3Text]]&amp;"F"),FIND("S",Tasks[[#This Row],[_Pred3Text]]&amp;"S"),FIND("+",Tasks[[#This Row],[_Pred3Text]]&amp;"+"),FIND("-",Tasks[[#This Row],[_Pred3Text]]&amp;"-"))-1)),""))</f>
        <v/>
      </c>
      <c r="CX1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1" s="42" t="str">
        <f aca="false">IF(Tasks[[#This Row],[_Pred3Text]]="","",TRIM(MID(SUBSTITUTE(SUBSTITUTE(SUBSTITUTE(UPPER(Tasks[[#This Row],[_Predecessors]]),";",",")," ",""),",",REPT(" ",99)),298,99)))</f>
        <v/>
      </c>
      <c r="DA151" s="42" t="str">
        <f aca="false">IF(Tasks[[#This Row],[_Pred4Text]]="","",IFERROR(VALUE(LEFT(Tasks[[#This Row],[_Pred4Text]],MIN(FIND("F",Tasks[[#This Row],[_Pred4Text]]&amp;"F"),FIND("S",Tasks[[#This Row],[_Pred4Text]]&amp;"S"),FIND("+",Tasks[[#This Row],[_Pred4Text]]&amp;"+"),FIND("-",Tasks[[#This Row],[_Pred4Text]]&amp;"-"))-1)),""))</f>
        <v/>
      </c>
      <c r="DB1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1" s="42" t="str">
        <f aca="false">IF(OR(Tasks[[#This Row],[Task Name]]="",Tasks[[#This Row],[_Resources]]=""),"",TRIM(MID(SUBSTITUTE(Tasks[[#This Row],[_Resources]],",",REPT(" ",99)),1,99)))</f>
        <v/>
      </c>
      <c r="DE151" s="42" t="str">
        <f aca="false">IF(Tasks[[#This Row],[_Res1Text]]="","",TRIM(MID(SUBSTITUTE(Tasks[[#This Row],[_Resources]],",",REPT(" ",99)),100,99)))</f>
        <v/>
      </c>
      <c r="DF151" s="42" t="str">
        <f aca="false">IF(Tasks[[#This Row],[_Res2Text]]="","",TRIM(MID(SUBSTITUTE(Tasks[[#This Row],[_Resources]],",",REPT(" ",99)),199,99)))</f>
        <v/>
      </c>
      <c r="DG151" s="42" t="str">
        <f aca="false">IF(Tasks[[#This Row],[_Res3Text]]="","",TRIM(MID(SUBSTITUTE(Tasks[[#This Row],[_Resources]],",",REPT(" ",99)),298,99)))</f>
        <v/>
      </c>
      <c r="DH151" s="42" t="n">
        <f aca="false">IF(Tasks[[#This Row],[_Res1Text]]="",0,IFERROR(MATCH(TRIM(LEFT(Tasks[[#This Row],[_Res1Text]],FIND("[",Tasks[[#This Row],[_Res1Text]]&amp;"[")-1)),res_Name,0),IFERROR(MATCH(TRIM(LEFT(Tasks[[#This Row],[_Res1Text]],FIND("[",Tasks[[#This Row],[_Res1Text]]&amp;"[")-1)),res_Initials,0),0)))</f>
        <v>0</v>
      </c>
      <c r="DI151" s="42" t="n">
        <f aca="false">IF(Tasks[[#This Row],[_Res2Text]]="",0,IFERROR(MATCH(TRIM(LEFT(Tasks[[#This Row],[_Res2Text]],FIND("[",Tasks[[#This Row],[_Res2Text]]&amp;"[")-1)),res_Name,0),IFERROR(MATCH(TRIM(LEFT(Tasks[[#This Row],[_Res2Text]],FIND("[",Tasks[[#This Row],[_Res2Text]]&amp;"[")-1)),res_Initials,0),0)))</f>
        <v>0</v>
      </c>
      <c r="DJ151" s="42" t="n">
        <f aca="false">IF(Tasks[[#This Row],[_Res3Text]]="",0,IFERROR(MATCH(TRIM(LEFT(Tasks[[#This Row],[_Res3Text]],FIND("[",Tasks[[#This Row],[_Res3Text]]&amp;"[")-1)),res_Name,0),IFERROR(MATCH(TRIM(LEFT(Tasks[[#This Row],[_Res3Text]],FIND("[",Tasks[[#This Row],[_Res3Text]]&amp;"[")-1)),res_Initials,0),0)))</f>
        <v>0</v>
      </c>
      <c r="DK151" s="42" t="n">
        <f aca="false">IF(Tasks[[#This Row],[_Res4Text]]="",0,IFERROR(MATCH(TRIM(LEFT(Tasks[[#This Row],[_Res4Text]],FIND("[",Tasks[[#This Row],[_Res4Text]]&amp;"[")-1)),res_Name,0),IFERROR(MATCH(TRIM(LEFT(Tasks[[#This Row],[_Res4Text]],FIND("[",Tasks[[#This Row],[_Res4Text]]&amp;"[")-1)),res_Initials,0),0)))</f>
        <v>0</v>
      </c>
      <c r="DL151" s="42" t="str">
        <f aca="false">IF(Tasks[[#This Row],[_Res1Text]]="","",IF(Tasks[[#This Row],[_Res1Row]]&gt;0,INDEX(res_Name,Tasks[[#This Row],[_Res1Row]]),TRIM(LEFT(Tasks[[#This Row],[_Res1Text]],FIND("[",Tasks[[#This Row],[_Res1Text]]&amp;"[")-1))))</f>
        <v/>
      </c>
      <c r="DM1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1" s="42" t="n">
        <f aca="false">IF(NOT(Tasks[[#This Row],[_IsLeaf]]=1),0,(Tasks[[#This Row],[_Resource1]]&lt;&gt;"")+(Tasks[[#This Row],[_Res2]]&lt;&gt;"")+(Tasks[[#This Row],[_Res3]]&lt;&gt;"")+(Tasks[[#This Row],[_Res4]]&lt;&gt;""))</f>
        <v>0</v>
      </c>
      <c r="DO151" s="42" t="str">
        <f aca="false">IF(Tasks[[#This Row],[_Res2Text]]="","",IF(Tasks[[#This Row],[_Res2Row]]&gt;0,INDEX(res_Name,Tasks[[#This Row],[_Res2Row]]),TRIM(LEFT(Tasks[[#This Row],[_Res2Text]],FIND("[",Tasks[[#This Row],[_Res2Text]]&amp;"[")-1))))</f>
        <v/>
      </c>
      <c r="DP1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1" s="42" t="n">
        <f aca="false">IF(OR(NOT(Tasks[[#This Row],[_IsLeaf]]=1),Tasks[[#This Row],[_Res2Row]]=0),0,N(Tasks[[#This Row],[_Days]])*HoursPerDay*IF(Tasks[[#This Row],[_Res2Units]]="",DefaultUnits,Tasks[[#This Row],[_Res2Units]]))</f>
        <v>0</v>
      </c>
      <c r="DR151" s="42" t="n">
        <f aca="false">IF(AND(AND(Tasks[[#This Row],[_IsLeaf]]=1,Tasks[[#This Row],[_LeafTotalWork]]&gt;0),Tasks[[#This Row],[_Res2Work]]&gt;0),Tasks[[#This Row],[_Res2Work]]/(Tasks[[#This Row],[_FinishWorkday]]-Tasks[[#This Row],[_StartWorkday]]+1),0)</f>
        <v>0</v>
      </c>
      <c r="DS151" s="42" t="n">
        <f aca="false">Tasks[[#This Row],[_Res2WorkPerWD]]*MAX(0,Tasks[[#This Row],[_StartWorkday]]-1)</f>
        <v>0</v>
      </c>
      <c r="DT151" s="42" t="n">
        <f aca="false">Tasks[[#This Row],[_Res2Work]]*Tasks[[#This Row],[_LeafProgress]]</f>
        <v>0</v>
      </c>
      <c r="DU151" s="42" t="str">
        <f aca="false">IF(Tasks[[#This Row],[_Res3Text]]="","",IF(Tasks[[#This Row],[_Res3Row]]&gt;0,INDEX(res_Name,Tasks[[#This Row],[_Res3Row]]),TRIM(LEFT(Tasks[[#This Row],[_Res3Text]],FIND("[",Tasks[[#This Row],[_Res3Text]]&amp;"[")-1))))</f>
        <v/>
      </c>
      <c r="DV1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1" s="42" t="n">
        <f aca="false">IF(OR(NOT(Tasks[[#This Row],[_IsLeaf]]=1),Tasks[[#This Row],[_Res3Row]]=0),0,N(Tasks[[#This Row],[_Days]])*HoursPerDay*IF(Tasks[[#This Row],[_Res3Units]]="",DefaultUnits,Tasks[[#This Row],[_Res3Units]]))</f>
        <v>0</v>
      </c>
      <c r="DX151" s="42" t="n">
        <f aca="false">IF(AND(AND(Tasks[[#This Row],[_IsLeaf]]=1,Tasks[[#This Row],[_LeafTotalWork]]&gt;0),Tasks[[#This Row],[_Res3Work]]&gt;0),Tasks[[#This Row],[_Res3Work]]/(Tasks[[#This Row],[_FinishWorkday]]-Tasks[[#This Row],[_StartWorkday]]+1),0)</f>
        <v>0</v>
      </c>
      <c r="DY151" s="42" t="n">
        <f aca="false">Tasks[[#This Row],[_Res3WorkPerWD]]*MAX(0,Tasks[[#This Row],[_StartWorkday]]-1)</f>
        <v>0</v>
      </c>
      <c r="DZ151" s="42" t="n">
        <f aca="false">Tasks[[#This Row],[_Res3Work]]*Tasks[[#This Row],[_LeafProgress]]</f>
        <v>0</v>
      </c>
      <c r="EA151" s="42" t="str">
        <f aca="false">IF(Tasks[[#This Row],[_Res4Text]]="","",IF(Tasks[[#This Row],[_Res4Row]]&gt;0,INDEX(res_Name,Tasks[[#This Row],[_Res4Row]]),TRIM(LEFT(Tasks[[#This Row],[_Res4Text]],FIND("[",Tasks[[#This Row],[_Res4Text]]&amp;"[")-1))))</f>
        <v/>
      </c>
      <c r="EB1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1" s="42" t="n">
        <f aca="false">IF(OR(NOT(Tasks[[#This Row],[_IsLeaf]]=1),Tasks[[#This Row],[_Res4Row]]=0),0,N(Tasks[[#This Row],[_Days]])*HoursPerDay*IF(Tasks[[#This Row],[_Res4Units]]="",DefaultUnits,Tasks[[#This Row],[_Res4Units]]))</f>
        <v>0</v>
      </c>
      <c r="ED151" s="42" t="n">
        <f aca="false">IF(AND(AND(Tasks[[#This Row],[_IsLeaf]]=1,Tasks[[#This Row],[_LeafTotalWork]]&gt;0),Tasks[[#This Row],[_Res4Work]]&gt;0),Tasks[[#This Row],[_Res4Work]]/(Tasks[[#This Row],[_FinishWorkday]]-Tasks[[#This Row],[_StartWorkday]]+1),0)</f>
        <v>0</v>
      </c>
      <c r="EE151" s="42" t="n">
        <f aca="false">Tasks[[#This Row],[_Res4WorkPerWD]]*MAX(0,Tasks[[#This Row],[_StartWorkday]]-1)</f>
        <v>0</v>
      </c>
      <c r="EF151" s="42" t="n">
        <f aca="false">Tasks[[#This Row],[_Res4Work]]*Tasks[[#This Row],[_LeafProgress]]</f>
        <v>0</v>
      </c>
      <c r="EG151" s="42" t="n">
        <f aca="false">IF(ISNUMBER(Tasks[[#This Row],[% Complete]]),Tasks[[#This Row],[% Complete]],IF(Tasks[[#This Row],[Stage]]="",0,IFERROR(INDEX(stg_Pct,MATCH(Tasks[[#This Row],[Stage]],stg_Name,0)),0)))</f>
        <v>0</v>
      </c>
      <c r="EH151" s="42" t="n">
        <f aca="false">IF(NOT(Tasks[[#This Row],[_IsLeaf]]=1),0,IF(N(Tasks[[#This Row],[Actual Finish]])&gt;0,1,MIN(1,Tasks[[#This Row],[_Pct]])))</f>
        <v>0</v>
      </c>
      <c r="EI151" s="42" t="n">
        <f aca="false">IF(OR(NOT(Tasks[[#This Row],[_IsLeaf]]=1),Tasks[[#This Row],[_Res1Row]]=0),0,N(Tasks[[#This Row],[_Days]])*HoursPerDay*IF(Tasks[[#This Row],[_Units1]]="",DefaultUnits,Tasks[[#This Row],[_Units1]]))</f>
        <v>0</v>
      </c>
      <c r="EJ151" s="42" t="n">
        <f aca="false">Tasks[[#This Row],[_LeafWork]]+Tasks[[#This Row],[_Res2Work]]+Tasks[[#This Row],[_Res3Work]]+Tasks[[#This Row],[_Res4Work]]</f>
        <v>0</v>
      </c>
      <c r="EK1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1" s="42" t="n">
        <f aca="false">IF(NOT(Tasks[[#This Row],[_IsLeaf]]=1),0,MAX(_xlfn.MAXIFS(Tasks[_Row],Tasks[_Pred1UID],Tasks[[#This Row],[UID]]),_xlfn.MAXIFS(Tasks[_Row],Tasks[_Pred2UID],Tasks[[#This Row],[UID]]),_xlfn.MAXIFS(Tasks[_Row],Tasks[_Pred3UID],Tasks[[#This Row],[UID]]),_xlfn.MAXIFS(Tasks[_Row],Tasks[_Pred4UID],Tasks[[#This Row],[UID]])))</f>
        <v>0</v>
      </c>
      <c r="ET1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1" s="89" t="str">
        <f aca="false">IF(NOT(Tasks[[#This Row],[_IsLeaf]]=1),"",IF(N(Tasks[[#This Row],[_Days]])&lt;=0,Tasks[[#This Row],[_LeafLateFinish]],WORKDAY.INTL(Tasks[[#This Row],[_LeafLateFinish]],-(Tasks[[#This Row],[_Days]]-1),WorkWeek,Holidays)))</f>
        <v/>
      </c>
      <c r="EW1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1" s="88" t="b">
        <f aca="false">AND(Tasks[[#This Row],[_IsLeaf]]=1,Tasks[[#This Row],[_LeafProgress]]&lt;1,N(Tasks[[#This Row],[_LeafTotalSlack]])&lt;=CriticalSlackDays)</f>
        <v>0</v>
      </c>
      <c r="EY151" s="42" t="n">
        <f aca="false">IF(AND(Tasks[[#This Row],[_IsLeaf]]=1,Tasks[[#This Row],[_ConstraintCode]]=1,Tasks[[#This Row],[Mode]]&lt;&gt;"Manual",N(Tasks[[#This Row],[Actual Start]])=0),MAX(0,N(Tasks[[#This Row],[Free Slack]])),0)</f>
        <v>0</v>
      </c>
      <c r="EZ151" s="89" t="str">
        <f aca="false">IF(NOT(Tasks[[#This Row],[_IsLeaf]]=1),"",IF(Tasks[[#This Row],[_AlapShift]]=0,Tasks[[#This Row],[_LeafCalcStart]],WORKDAY.INTL(Tasks[[#This Row],[_LeafCalcStart]],Tasks[[#This Row],[_AlapShift]],WorkWeek,Holidays)))</f>
        <v/>
      </c>
      <c r="FA151" s="89" t="str">
        <f aca="false">IF(NOT(Tasks[[#This Row],[_IsLeaf]]=1),"",IF(Tasks[[#This Row],[_AlapShift]]=0,Tasks[[#This Row],[_LeafCalcFinish]],WORKDAY.INTL(Tasks[[#This Row],[_LeafCalcFinish]],Tasks[[#This Row],[_AlapShift]],WorkWeek,Holidays)))</f>
        <v/>
      </c>
      <c r="FB151" s="89" t="str">
        <f aca="false">IF(NOT(Tasks[[#This Row],[_IsLeaf]]=1),"",IF(Tasks[[#This Row],[_AlapShift]]=0,Tasks[[#This Row],[_LeafFcstStart]],WORKDAY.INTL(Tasks[[#This Row],[_LeafFcstStart]],Tasks[[#This Row],[_AlapShift]],WorkWeek,Holidays)))</f>
        <v/>
      </c>
      <c r="FC151" s="89" t="str">
        <f aca="false">IF(NOT(Tasks[[#This Row],[_IsLeaf]]=1),"",IF(Tasks[[#This Row],[_AlapShift]]=0,Tasks[[#This Row],[_LeafFcstFinish]],WORKDAY.INTL(Tasks[[#This Row],[_LeafFcstFinish]],Tasks[[#This Row],[_AlapShift]],WorkWeek,Holidays)))</f>
        <v/>
      </c>
      <c r="FD151" s="89" t="str">
        <f aca="false">IF(Tasks[[#This Row],[Task Name]]="","",IF(Tasks[[#This Row],[_IsSummary]],MIN(INDEX(Tasks[_ShownCalcStart],Tasks[[#This Row],[_Row]]+1):INDEX(Tasks[_ShownCalcStart],Tasks[[#This Row],[_Row]]+Tasks[[#This Row],[_Descendants]])),Tasks[[#This Row],[_ShownCalcStart]]))</f>
        <v/>
      </c>
      <c r="FE151" s="89" t="str">
        <f aca="false">IF(Tasks[[#This Row],[Task Name]]="","",IF(Tasks[[#This Row],[_IsSummary]],MAX(INDEX(Tasks[_ShownCalcFinish],Tasks[[#This Row],[_Row]]+1):INDEX(Tasks[_ShownCalcFinish],Tasks[[#This Row],[_Row]]+Tasks[[#This Row],[_Descendants]])),Tasks[[#This Row],[_ShownCalcFinish]]))</f>
        <v/>
      </c>
      <c r="FF1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1" s="42" t="n">
        <f aca="false">IF(AND(Tasks[[#This Row],[_IsLeaf]]=1,Tasks[[#This Row],[_LeafTotalWork]]&gt;0),NETWORKDAYS.INTL(ProjectStart,Tasks[[#This Row],[_ShownFcstStart]],WorkWeek,Holidays),0)</f>
        <v>0</v>
      </c>
      <c r="FS151" s="42" t="n">
        <f aca="false">IF(AND(Tasks[[#This Row],[_IsLeaf]]=1,Tasks[[#This Row],[_LeafTotalWork]]&gt;0),MAX(Tasks[[#This Row],[_StartWorkday]],NETWORKDAYS.INTL(ProjectStart,Tasks[[#This Row],[_ShownFcstFinish]],WorkWeek,Holidays)),0)</f>
        <v>0</v>
      </c>
      <c r="FT151" s="42" t="n">
        <f aca="false">IF(AND(Tasks[[#This Row],[_IsLeaf]]=1,Tasks[[#This Row],[_LeafTotalWork]]&gt;0),Tasks[[#This Row],[_LeafWork]]/(Tasks[[#This Row],[_FinishWorkday]]-Tasks[[#This Row],[_StartWorkday]]+1),0)</f>
        <v>0</v>
      </c>
      <c r="FU151" s="42" t="n">
        <f aca="false">Tasks[[#This Row],[_WorkPerWorkday]]*(Tasks[[#This Row],[_StartWorkday]]-1)</f>
        <v>-0</v>
      </c>
      <c r="FV151" s="42" t="n">
        <f aca="false">IF(Tasks[[#This Row],[_IsLeaf]]=1,MAX(N(Tasks[[#This Row],[_Days]]),0.1),0)</f>
        <v>0</v>
      </c>
      <c r="FW151" s="42" t="n">
        <f aca="false">Tasks[[#This Row],[_WeightDur]]*Tasks[[#This Row],[_LeafProgress]]</f>
        <v>0</v>
      </c>
      <c r="FX151" s="42" t="n">
        <f aca="false">Tasks[[#This Row],[_WeightDur]]*Tasks[[#This Row],[_PlannedPct]]</f>
        <v>0</v>
      </c>
      <c r="FY1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1" s="42" t="str">
        <f aca="false">IF(AND(Tasks[[#This Row],[_IsLeaf]]=1,N(Tasks[[#This Row],[_Days]])=0,Tasks[[#This Row],[_LeafProgress]]&lt;1),Tasks[[#This Row],[_ShownFcstFinish]]+Tasks[[#This Row],[_Row]]/100000,"")</f>
        <v/>
      </c>
      <c r="GA1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1" s="42" t="str">
        <f aca="false">IF(Tasks[[#This Row],[Task Name]]="","",LEFT(Tasks[[#This Row],[WBS]],FIND(".",Tasks[[#This Row],[WBS]]&amp;".")-1))</f>
        <v/>
      </c>
      <c r="GC151" s="42" t="str">
        <f aca="false">IF(AND(Tasks[[#This Row],[Task Name]]&lt;&gt;"",Tasks[[#This Row],[_Level]]=1),Tasks[[#This Row],[_Row]],"")</f>
        <v/>
      </c>
      <c r="GD151" s="42" t="str">
        <f aca="false">IF(AND(Tasks[[#This Row],[_IsLeaf]]=1,N(Tasks[[#This Row],[_Days]])=0),Tasks[[#This Row],[Planned Finish]]+Tasks[[#This Row],[_Row]]/100000,"")</f>
        <v/>
      </c>
      <c r="GE151" s="42" t="str">
        <f aca="false">IF(AND(Tasks[[#This Row],[_IsLeaf]]=1,Tasks[[#This Row],[_LeafProgress]]&lt;1,OR(N(Tasks[[#This Row],[Finish Var]])&gt;0,Tasks[[#This Row],[Status]]="Late Start")),MAX(0,Tasks[[#This Row],[Finish Var]])+1-Tasks[[#This Row],[_Row]]/1000000,"")</f>
        <v/>
      </c>
      <c r="GF151" s="42" t="str">
        <f aca="false">IF(AND(Tasks[[#This Row],[_IsLeaf]]=1,N(Tasks[[#This Row],[Actual Start]])=0,Tasks[[#This Row],[_ShownFcstStart]]&gt;=StatusDate,Tasks[[#This Row],[_ShownFcstStart]]&lt;=LookaheadEnd),Tasks[[#This Row],[_ShownFcstStart]]+Tasks[[#This Row],[_Row]]/100000,"")</f>
        <v/>
      </c>
      <c r="GG151" s="42" t="str">
        <f aca="false">IF(AND(Tasks[[#This Row],[_IsLeaf]]=1,Tasks[[#This Row],[_LeafProgress]]&lt;1,Tasks[[#This Row],[_ShownFcstFinish]]&gt;=StatusDate,Tasks[[#This Row],[_ShownFcstFinish]]&lt;=LookaheadEnd),Tasks[[#This Row],[_ShownFcstFinish]]+Tasks[[#This Row],[_Row]]/100000,"")</f>
        <v/>
      </c>
      <c r="GH151" s="42" t="str">
        <f aca="false">IF(Tasks[[#This Row],[_LeafCritical]],Tasks[[#This Row],[_ShownFcstStart]]+Tasks[[#This Row],[_Row]]/100000,"")</f>
        <v/>
      </c>
      <c r="GI151" s="42" t="n">
        <f aca="false">Tasks[[#This Row],[_LeafWork]]*Tasks[[#This Row],[_LeafProgress]]</f>
        <v>0</v>
      </c>
      <c r="GJ151" s="89" t="str">
        <f aca="false">IF(AND(Tasks[[#This Row],[_IsLeaf]]=1,Tasks[[#This Row],[_LeafProgress]]&gt;=1),IF(N(Tasks[[#This Row],[Actual Finish]])&gt;0,Tasks[[#This Row],[Actual Finish]],Tasks[[#This Row],[_ShownFcstFinish]]),"")</f>
        <v/>
      </c>
      <c r="GK151" s="42" t="n">
        <f aca="false">IF(Tasks[[#This Row],[_IsLeaf]]=1,N(Tasks[[#This Row],[Story Points]]),0)</f>
        <v>0</v>
      </c>
      <c r="GL151" s="42" t="str">
        <f aca="false">""</f>
        <v/>
      </c>
      <c r="GM151" s="88" t="b">
        <f aca="false">IF(Tasks[[#This Row],[Task Name]]="",FALSE(),AND(Tasks[[#This Row],[_IsLeaf]]=1,N(Tasks[[#This Row],[_Days]])=0))</f>
        <v>0</v>
      </c>
      <c r="GN151" s="89" t="n">
        <f aca="false">IF(Tasks[[#This Row],[Task Name]]="",0,IF(AND(Tasks[[#This Row],[_IsLeaf]]=1,NOT(Tasks[[#This Row],[_IsMilestone]]),N(Tasks[[#This Row],[Progress]])&gt;0),Tasks[[#This Row],[Start]],0))</f>
        <v>0</v>
      </c>
      <c r="GO151" s="89" t="n">
        <f aca="false">IF(Tasks[[#This Row],[_DoneFrom]]=0,0,IF(Tasks[[#This Row],[Progress]]&gt;=1,Tasks[[#This Row],[Finish]],MAX(Tasks[[#This Row],[_DoneFrom]],Tasks[[#This Row],[Start]]+ROUND((Tasks[[#This Row],[Finish]]-Tasks[[#This Row],[Start]]+1)*Tasks[[#This Row],[Progress]],0)-1)))</f>
        <v>0</v>
      </c>
      <c r="GP151" s="89" t="n">
        <f aca="false">IF(Tasks[[#This Row],[Task Name]]="",0,IF(OR(NOT(Tasks[[#This Row],[_IsLeaf]]=1),Tasks[[#This Row],[_IsMilestone]],N(Tasks[[#This Row],[Progress]])&gt;=1),0,IF(Tasks[[#This Row],[_DoneTo]]&gt;0,Tasks[[#This Row],[_DoneTo]]+1,Tasks[[#This Row],[Start]])))</f>
        <v>0</v>
      </c>
      <c r="GQ151" s="89" t="n">
        <f aca="false">IF(Tasks[[#This Row],[_RemFrom]]=0,0,Tasks[[#This Row],[Finish]])</f>
        <v>0</v>
      </c>
      <c r="GR151" s="88" t="b">
        <f aca="false">IF(Tasks[[#This Row],[Task Name]]="",FALSE(),OR(NOT(BaselineSet),N(Tasks[[#This Row],[Baseline Start]])&gt;0))</f>
        <v>0</v>
      </c>
      <c r="GS1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1" s="90" t="str">
        <f aca="false">IF(Tasks[[#This Row],[_IsLeaf]]=1,Tasks[[#This Row],[_Row]],"")</f>
        <v/>
      </c>
      <c r="GW151" s="90" t="str">
        <f aca="false">IFERROR(INDEX(Tasks[UID],SMALL(Tasks[_PickKey],Tasks[[#This Row],[_Row]]))&amp;" "&amp;INDEX(Tasks[Task Name],SMALL(Tasks[_PickKey],Tasks[[#This Row],[_Row]])),"")</f>
        <v/>
      </c>
      <c r="GX151" s="42" t="str">
        <f aca="false">IF(Tasks[[#This Row],[Task Name]]="","",IF(Tasks[[#This Row],[_IsSummary]],NETWORKDAYS.INTL(Tasks[[#This Row],[Start]],Tasks[[#This Row],[Finish]],WorkWeek,Holidays),N(Tasks[[#This Row],[_Days]])))</f>
        <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3"/>
      <c r="U152" s="23"/>
      <c r="V152" s="83"/>
      <c r="W152" s="23"/>
      <c r="X152" s="83"/>
      <c r="Y152" s="23"/>
      <c r="Z152" s="83"/>
      <c r="AA152" s="23"/>
      <c r="AB152" s="23"/>
      <c r="AC152" s="7"/>
      <c r="AD152" s="7"/>
      <c r="AE152" s="62" t="str">
        <f aca="false">IF(Tasks[[#This Row],[Task Name]]="","",IF(Tasks[[#This Row],[_IsSummary]],MIN(INDEX(Tasks[_ShownFcstStart],Tasks[[#This Row],[_Row]]+1):INDEX(Tasks[_ShownFcstStart],Tasks[[#This Row],[_Row]]+Tasks[[#This Row],[_Descendants]])),Tasks[[#This Row],[_ShownFcstStart]]))</f>
        <v/>
      </c>
      <c r="AF152" s="62"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2" s="7"/>
      <c r="AK152" s="22"/>
      <c r="AL152" s="23"/>
      <c r="AM152" s="7"/>
      <c r="AN152" s="46"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2" t="str">
        <f aca="false">IF(Tasks[[#This Row],[Task Name]]="","",IF(N(Tasks[[#This Row],[Baseline Start]])&gt;0,Tasks[[#This Row],[Baseline Start]],Tasks[[#This Row],[_CalcStart]]))</f>
        <v/>
      </c>
      <c r="AR152" s="62" t="str">
        <f aca="false">IF(Tasks[[#This Row],[Task Name]]="","",IF(N(Tasks[[#This Row],[Baseline Finish]])&gt;0,Tasks[[#This Row],[Baseline Finish]],Tasks[[#This Row],[_CalcFinish]]))</f>
        <v/>
      </c>
      <c r="AS152" s="46" t="str">
        <f aca="false">IF(Tasks[[#This Row],[Task Name]]="","",IF(Tasks[[#This Row],[Start]]&gt;=Tasks[[#This Row],[Planned Start]],NETWORKDAYS.INTL(Tasks[[#This Row],[Planned Start]],Tasks[[#This Row],[Start]],WorkWeek,Holidays)-1,1-NETWORKDAYS.INTL(Tasks[[#This Row],[Start]],Tasks[[#This Row],[Planned Start]],WorkWeek,Holidays)))</f>
        <v/>
      </c>
      <c r="AT152" s="62" t="str">
        <f aca="false">IF(Tasks[[#This Row],[Task Name]]="","",IF(Tasks[[#This Row],[_IsSummary]],MIN(INDEX(Tasks[_LeafLateStart],Tasks[[#This Row],[_Row]]+1):INDEX(Tasks[_LeafLateStart],Tasks[[#This Row],[_Row]]+Tasks[[#This Row],[_Descendants]])),Tasks[[#This Row],[_LeafLateStart]]))</f>
        <v/>
      </c>
      <c r="AU152" s="62" t="str">
        <f aca="false">IF(Tasks[[#This Row],[Task Name]]="","",IF(Tasks[[#This Row],[_IsSummary]],MAX(INDEX(Tasks[_LeafLateFinish],Tasks[[#This Row],[_Row]]+1):INDEX(Tasks[_LeafLateFinish],Tasks[[#This Row],[_Row]]+Tasks[[#This Row],[_Descendants]])),Tasks[[#This Row],[_LeafLateFinish]]))</f>
        <v/>
      </c>
      <c r="AV152" s="46"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4"/>
      <c r="BA1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5"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6"/>
      <c r="BJ152" s="22"/>
      <c r="BK152" s="46" t="str">
        <f aca="false">IF(OR(Tasks[[#This Row],[Task Name]]="",Tasks[[#This Row],[Baseline Duration]]=""),"",Tasks[[#This Row],[_SpanDays]]-N(Tasks[[#This Row],[Baseline Duration]]))</f>
        <v/>
      </c>
      <c r="BL152" s="85" t="str">
        <f aca="false">IF(OR(Tasks[[#This Row],[Task Name]]="",Tasks[[#This Row],[Baseline Work]]=""),"",Tasks[[#This Row],[Work]]-N(Tasks[[#This Row],[Baseline Work]]))</f>
        <v/>
      </c>
      <c r="BM152" s="62" t="str">
        <f aca="false">IF(Tasks[[#This Row],[Task Name]]="","",IF(OR(TakeBaseline="Yes",N(Tasks[[#This Row],[Baseline Start]])=0),Tasks[[#This Row],[Start]],Tasks[[#This Row],[Baseline Start]]))</f>
        <v/>
      </c>
      <c r="BN152" s="62"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5" t="str">
        <f aca="false">IF(Tasks[[#This Row],[Task Name]]="","",IF(OR(TakeBaseline="Yes",N(Tasks[[#This Row],[Baseline Work]])=0),Tasks[[#This Row],[Work]],Tasks[[#This Row],[Baseline Work]]))</f>
        <v/>
      </c>
      <c r="BQ152" s="7"/>
      <c r="BR152" s="7"/>
      <c r="BS152" s="22"/>
      <c r="BT152" s="87"/>
      <c r="BU152" s="42" t="str">
        <f aca="false">IF(Tasks[[#This Row],[Task Name]]="","",MAX(1,N(Tasks[[#This Row],[Level]])))</f>
        <v/>
      </c>
      <c r="BV152" s="42" t="n">
        <f aca="false">ROW()-ROW(Tasks[[#Headers],[ID]])</f>
        <v>147</v>
      </c>
      <c r="BW152" s="42" t="n">
        <f aca="false">IF(OR(Tasks[[#This Row],[Task Name]]="",Tasks[[#This Row],[_Level]]&lt;=1),0,IFERROR(LOOKUP(2,1/(Tasks[[#Headers],[_Level]]:Tasks[[#This Row],[_Level]]=Tasks[[#This Row],[_Level]]-1),ROW(Tasks[[#Headers],[_Level]]:Tasks[[#This Row],[_Level]])),0))</f>
        <v>0</v>
      </c>
      <c r="BX152" s="42" t="n">
        <f aca="false">IFERROR(N(INDEX(Tasks[_Level],Tasks[[#This Row],[_Row]]+1)),0)</f>
        <v>0</v>
      </c>
      <c r="BY152" s="88" t="b">
        <f aca="false">AND(Tasks[[#This Row],[Task Name]]&lt;&gt;"",Tasks[[#This Row],[_NextLevel]]&gt;Tasks[[#This Row],[_Level]])</f>
        <v>0</v>
      </c>
      <c r="BZ152" s="42" t="n">
        <f aca="false">IF(Tasks[[#This Row],[_IsSummary]],COUNTIF(Tasks[WBS],Tasks[[#This Row],[WBS]]&amp;".*"),0)</f>
        <v>0</v>
      </c>
      <c r="CA152" s="42" t="n">
        <f aca="false">IF(AND(Tasks[[#This Row],[Task Name]]&lt;&gt;"",NOT(Tasks[[#This Row],[_IsSummary]])),1,0)</f>
        <v>0</v>
      </c>
      <c r="CB152" s="42" t="n">
        <f aca="false">IF(N(Tasks[[#This Row],[_Pred1UID]])=0,0,IFERROR(MATCH(Tasks[[#This Row],[_Pred1UID]],Tasks[UID],0),-1))</f>
        <v>0</v>
      </c>
      <c r="CC152" s="42" t="n">
        <f aca="false">IF(N(Tasks[[#This Row],[_Pred2UID]])=0,0,IFERROR(MATCH(Tasks[[#This Row],[_Pred2UID]],Tasks[UID],0),-1))</f>
        <v>0</v>
      </c>
      <c r="CD152" s="42" t="n">
        <f aca="false">IF(N(Tasks[[#This Row],[_Pred3UID]])=0,0,IFERROR(MATCH(Tasks[[#This Row],[_Pred3UID]],Tasks[UID],0),-1))</f>
        <v>0</v>
      </c>
      <c r="CE152" s="42" t="n">
        <f aca="false">IF(N(Tasks[[#This Row],[_Pred4UID]])=0,0,IFERROR(MATCH(Tasks[[#This Row],[_Pred4UID]],Tasks[UID],0),-1))</f>
        <v>0</v>
      </c>
      <c r="CF1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2" s="89" t="n">
        <f aca="false">IF(OR(Tasks[[#This Row],[_ConstraintCode]]=2,Tasks[[#This Row],[_ConstraintCode]]=3,Tasks[[#This Row],[_ConstraintCode]]=4,Tasks[[#This Row],[_ConstraintCode]]=6),Tasks[[#This Row],[_ConstraintStart]],0)</f>
        <v>0</v>
      </c>
      <c r="CI152" s="89" t="n">
        <f aca="false">IF(OR(Tasks[[#This Row],[_ConstraintCode]]=2,Tasks[[#This Row],[_ConstraintCode]]=3,Tasks[[#This Row],[_ConstraintCode]]=5,Tasks[[#This Row],[_ConstraintCode]]=7),Tasks[[#This Row],[_ConstraintStart]],2958465)</f>
        <v>2958465</v>
      </c>
      <c r="CJ1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2" s="89" t="str">
        <f aca="false">IF(NOT(Tasks[[#This Row],[_IsLeaf]]=1),"",IF(N(Tasks[[#This Row],[_Days]])&lt;=0,Tasks[[#This Row],[_LeafCalcStart]],WORKDAY.INTL(Tasks[[#This Row],[_LeafCalcStart]],Tasks[[#This Row],[_Days]]-1,WorkWeek,Holidays)))</f>
        <v/>
      </c>
      <c r="CL1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2" s="42" t="str">
        <f aca="false">IF(Tasks[[#This Row],[_Predecessors]]="","",TRIM(MID(SUBSTITUTE(SUBSTITUTE(SUBSTITUTE(UPPER(Tasks[[#This Row],[_Predecessors]]),";",",")," ",""),",",REPT(" ",99)),1,99)))</f>
        <v/>
      </c>
      <c r="CO152" s="42" t="str">
        <f aca="false">IF(Tasks[[#This Row],[_Pred1Text]]="","",IFERROR(VALUE(LEFT(Tasks[[#This Row],[_Pred1Text]],MIN(FIND("F",Tasks[[#This Row],[_Pred1Text]]&amp;"F"),FIND("S",Tasks[[#This Row],[_Pred1Text]]&amp;"S"),FIND("+",Tasks[[#This Row],[_Pred1Text]]&amp;"+"),FIND("-",Tasks[[#This Row],[_Pred1Text]]&amp;"-"))-1)),""))</f>
        <v/>
      </c>
      <c r="CP1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2" s="42" t="str">
        <f aca="false">IF(Tasks[[#This Row],[_Pred1Text]]="","",TRIM(MID(SUBSTITUTE(SUBSTITUTE(SUBSTITUTE(UPPER(Tasks[[#This Row],[_Predecessors]]),";",",")," ",""),",",REPT(" ",99)),100,99)))</f>
        <v/>
      </c>
      <c r="CS152" s="42" t="str">
        <f aca="false">IF(Tasks[[#This Row],[_Pred2Text]]="","",IFERROR(VALUE(LEFT(Tasks[[#This Row],[_Pred2Text]],MIN(FIND("F",Tasks[[#This Row],[_Pred2Text]]&amp;"F"),FIND("S",Tasks[[#This Row],[_Pred2Text]]&amp;"S"),FIND("+",Tasks[[#This Row],[_Pred2Text]]&amp;"+"),FIND("-",Tasks[[#This Row],[_Pred2Text]]&amp;"-"))-1)),""))</f>
        <v/>
      </c>
      <c r="CT1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2" s="42" t="str">
        <f aca="false">IF(Tasks[[#This Row],[_Pred2Text]]="","",TRIM(MID(SUBSTITUTE(SUBSTITUTE(SUBSTITUTE(UPPER(Tasks[[#This Row],[_Predecessors]]),";",",")," ",""),",",REPT(" ",99)),199,99)))</f>
        <v/>
      </c>
      <c r="CW152" s="42" t="str">
        <f aca="false">IF(Tasks[[#This Row],[_Pred3Text]]="","",IFERROR(VALUE(LEFT(Tasks[[#This Row],[_Pred3Text]],MIN(FIND("F",Tasks[[#This Row],[_Pred3Text]]&amp;"F"),FIND("S",Tasks[[#This Row],[_Pred3Text]]&amp;"S"),FIND("+",Tasks[[#This Row],[_Pred3Text]]&amp;"+"),FIND("-",Tasks[[#This Row],[_Pred3Text]]&amp;"-"))-1)),""))</f>
        <v/>
      </c>
      <c r="CX1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2" s="42" t="str">
        <f aca="false">IF(Tasks[[#This Row],[_Pred3Text]]="","",TRIM(MID(SUBSTITUTE(SUBSTITUTE(SUBSTITUTE(UPPER(Tasks[[#This Row],[_Predecessors]]),";",",")," ",""),",",REPT(" ",99)),298,99)))</f>
        <v/>
      </c>
      <c r="DA152" s="42" t="str">
        <f aca="false">IF(Tasks[[#This Row],[_Pred4Text]]="","",IFERROR(VALUE(LEFT(Tasks[[#This Row],[_Pred4Text]],MIN(FIND("F",Tasks[[#This Row],[_Pred4Text]]&amp;"F"),FIND("S",Tasks[[#This Row],[_Pred4Text]]&amp;"S"),FIND("+",Tasks[[#This Row],[_Pred4Text]]&amp;"+"),FIND("-",Tasks[[#This Row],[_Pred4Text]]&amp;"-"))-1)),""))</f>
        <v/>
      </c>
      <c r="DB1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2" s="42" t="str">
        <f aca="false">IF(OR(Tasks[[#This Row],[Task Name]]="",Tasks[[#This Row],[_Resources]]=""),"",TRIM(MID(SUBSTITUTE(Tasks[[#This Row],[_Resources]],",",REPT(" ",99)),1,99)))</f>
        <v/>
      </c>
      <c r="DE152" s="42" t="str">
        <f aca="false">IF(Tasks[[#This Row],[_Res1Text]]="","",TRIM(MID(SUBSTITUTE(Tasks[[#This Row],[_Resources]],",",REPT(" ",99)),100,99)))</f>
        <v/>
      </c>
      <c r="DF152" s="42" t="str">
        <f aca="false">IF(Tasks[[#This Row],[_Res2Text]]="","",TRIM(MID(SUBSTITUTE(Tasks[[#This Row],[_Resources]],",",REPT(" ",99)),199,99)))</f>
        <v/>
      </c>
      <c r="DG152" s="42" t="str">
        <f aca="false">IF(Tasks[[#This Row],[_Res3Text]]="","",TRIM(MID(SUBSTITUTE(Tasks[[#This Row],[_Resources]],",",REPT(" ",99)),298,99)))</f>
        <v/>
      </c>
      <c r="DH152" s="42" t="n">
        <f aca="false">IF(Tasks[[#This Row],[_Res1Text]]="",0,IFERROR(MATCH(TRIM(LEFT(Tasks[[#This Row],[_Res1Text]],FIND("[",Tasks[[#This Row],[_Res1Text]]&amp;"[")-1)),res_Name,0),IFERROR(MATCH(TRIM(LEFT(Tasks[[#This Row],[_Res1Text]],FIND("[",Tasks[[#This Row],[_Res1Text]]&amp;"[")-1)),res_Initials,0),0)))</f>
        <v>0</v>
      </c>
      <c r="DI152" s="42" t="n">
        <f aca="false">IF(Tasks[[#This Row],[_Res2Text]]="",0,IFERROR(MATCH(TRIM(LEFT(Tasks[[#This Row],[_Res2Text]],FIND("[",Tasks[[#This Row],[_Res2Text]]&amp;"[")-1)),res_Name,0),IFERROR(MATCH(TRIM(LEFT(Tasks[[#This Row],[_Res2Text]],FIND("[",Tasks[[#This Row],[_Res2Text]]&amp;"[")-1)),res_Initials,0),0)))</f>
        <v>0</v>
      </c>
      <c r="DJ152" s="42" t="n">
        <f aca="false">IF(Tasks[[#This Row],[_Res3Text]]="",0,IFERROR(MATCH(TRIM(LEFT(Tasks[[#This Row],[_Res3Text]],FIND("[",Tasks[[#This Row],[_Res3Text]]&amp;"[")-1)),res_Name,0),IFERROR(MATCH(TRIM(LEFT(Tasks[[#This Row],[_Res3Text]],FIND("[",Tasks[[#This Row],[_Res3Text]]&amp;"[")-1)),res_Initials,0),0)))</f>
        <v>0</v>
      </c>
      <c r="DK152" s="42" t="n">
        <f aca="false">IF(Tasks[[#This Row],[_Res4Text]]="",0,IFERROR(MATCH(TRIM(LEFT(Tasks[[#This Row],[_Res4Text]],FIND("[",Tasks[[#This Row],[_Res4Text]]&amp;"[")-1)),res_Name,0),IFERROR(MATCH(TRIM(LEFT(Tasks[[#This Row],[_Res4Text]],FIND("[",Tasks[[#This Row],[_Res4Text]]&amp;"[")-1)),res_Initials,0),0)))</f>
        <v>0</v>
      </c>
      <c r="DL152" s="42" t="str">
        <f aca="false">IF(Tasks[[#This Row],[_Res1Text]]="","",IF(Tasks[[#This Row],[_Res1Row]]&gt;0,INDEX(res_Name,Tasks[[#This Row],[_Res1Row]]),TRIM(LEFT(Tasks[[#This Row],[_Res1Text]],FIND("[",Tasks[[#This Row],[_Res1Text]]&amp;"[")-1))))</f>
        <v/>
      </c>
      <c r="DM1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2" s="42" t="n">
        <f aca="false">IF(NOT(Tasks[[#This Row],[_IsLeaf]]=1),0,(Tasks[[#This Row],[_Resource1]]&lt;&gt;"")+(Tasks[[#This Row],[_Res2]]&lt;&gt;"")+(Tasks[[#This Row],[_Res3]]&lt;&gt;"")+(Tasks[[#This Row],[_Res4]]&lt;&gt;""))</f>
        <v>0</v>
      </c>
      <c r="DO152" s="42" t="str">
        <f aca="false">IF(Tasks[[#This Row],[_Res2Text]]="","",IF(Tasks[[#This Row],[_Res2Row]]&gt;0,INDEX(res_Name,Tasks[[#This Row],[_Res2Row]]),TRIM(LEFT(Tasks[[#This Row],[_Res2Text]],FIND("[",Tasks[[#This Row],[_Res2Text]]&amp;"[")-1))))</f>
        <v/>
      </c>
      <c r="DP1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2" s="42" t="n">
        <f aca="false">IF(OR(NOT(Tasks[[#This Row],[_IsLeaf]]=1),Tasks[[#This Row],[_Res2Row]]=0),0,N(Tasks[[#This Row],[_Days]])*HoursPerDay*IF(Tasks[[#This Row],[_Res2Units]]="",DefaultUnits,Tasks[[#This Row],[_Res2Units]]))</f>
        <v>0</v>
      </c>
      <c r="DR152" s="42" t="n">
        <f aca="false">IF(AND(AND(Tasks[[#This Row],[_IsLeaf]]=1,Tasks[[#This Row],[_LeafTotalWork]]&gt;0),Tasks[[#This Row],[_Res2Work]]&gt;0),Tasks[[#This Row],[_Res2Work]]/(Tasks[[#This Row],[_FinishWorkday]]-Tasks[[#This Row],[_StartWorkday]]+1),0)</f>
        <v>0</v>
      </c>
      <c r="DS152" s="42" t="n">
        <f aca="false">Tasks[[#This Row],[_Res2WorkPerWD]]*MAX(0,Tasks[[#This Row],[_StartWorkday]]-1)</f>
        <v>0</v>
      </c>
      <c r="DT152" s="42" t="n">
        <f aca="false">Tasks[[#This Row],[_Res2Work]]*Tasks[[#This Row],[_LeafProgress]]</f>
        <v>0</v>
      </c>
      <c r="DU152" s="42" t="str">
        <f aca="false">IF(Tasks[[#This Row],[_Res3Text]]="","",IF(Tasks[[#This Row],[_Res3Row]]&gt;0,INDEX(res_Name,Tasks[[#This Row],[_Res3Row]]),TRIM(LEFT(Tasks[[#This Row],[_Res3Text]],FIND("[",Tasks[[#This Row],[_Res3Text]]&amp;"[")-1))))</f>
        <v/>
      </c>
      <c r="DV1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2" s="42" t="n">
        <f aca="false">IF(OR(NOT(Tasks[[#This Row],[_IsLeaf]]=1),Tasks[[#This Row],[_Res3Row]]=0),0,N(Tasks[[#This Row],[_Days]])*HoursPerDay*IF(Tasks[[#This Row],[_Res3Units]]="",DefaultUnits,Tasks[[#This Row],[_Res3Units]]))</f>
        <v>0</v>
      </c>
      <c r="DX152" s="42" t="n">
        <f aca="false">IF(AND(AND(Tasks[[#This Row],[_IsLeaf]]=1,Tasks[[#This Row],[_LeafTotalWork]]&gt;0),Tasks[[#This Row],[_Res3Work]]&gt;0),Tasks[[#This Row],[_Res3Work]]/(Tasks[[#This Row],[_FinishWorkday]]-Tasks[[#This Row],[_StartWorkday]]+1),0)</f>
        <v>0</v>
      </c>
      <c r="DY152" s="42" t="n">
        <f aca="false">Tasks[[#This Row],[_Res3WorkPerWD]]*MAX(0,Tasks[[#This Row],[_StartWorkday]]-1)</f>
        <v>0</v>
      </c>
      <c r="DZ152" s="42" t="n">
        <f aca="false">Tasks[[#This Row],[_Res3Work]]*Tasks[[#This Row],[_LeafProgress]]</f>
        <v>0</v>
      </c>
      <c r="EA152" s="42" t="str">
        <f aca="false">IF(Tasks[[#This Row],[_Res4Text]]="","",IF(Tasks[[#This Row],[_Res4Row]]&gt;0,INDEX(res_Name,Tasks[[#This Row],[_Res4Row]]),TRIM(LEFT(Tasks[[#This Row],[_Res4Text]],FIND("[",Tasks[[#This Row],[_Res4Text]]&amp;"[")-1))))</f>
        <v/>
      </c>
      <c r="EB1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2" s="42" t="n">
        <f aca="false">IF(OR(NOT(Tasks[[#This Row],[_IsLeaf]]=1),Tasks[[#This Row],[_Res4Row]]=0),0,N(Tasks[[#This Row],[_Days]])*HoursPerDay*IF(Tasks[[#This Row],[_Res4Units]]="",DefaultUnits,Tasks[[#This Row],[_Res4Units]]))</f>
        <v>0</v>
      </c>
      <c r="ED152" s="42" t="n">
        <f aca="false">IF(AND(AND(Tasks[[#This Row],[_IsLeaf]]=1,Tasks[[#This Row],[_LeafTotalWork]]&gt;0),Tasks[[#This Row],[_Res4Work]]&gt;0),Tasks[[#This Row],[_Res4Work]]/(Tasks[[#This Row],[_FinishWorkday]]-Tasks[[#This Row],[_StartWorkday]]+1),0)</f>
        <v>0</v>
      </c>
      <c r="EE152" s="42" t="n">
        <f aca="false">Tasks[[#This Row],[_Res4WorkPerWD]]*MAX(0,Tasks[[#This Row],[_StartWorkday]]-1)</f>
        <v>0</v>
      </c>
      <c r="EF152" s="42" t="n">
        <f aca="false">Tasks[[#This Row],[_Res4Work]]*Tasks[[#This Row],[_LeafProgress]]</f>
        <v>0</v>
      </c>
      <c r="EG152" s="42" t="n">
        <f aca="false">IF(ISNUMBER(Tasks[[#This Row],[% Complete]]),Tasks[[#This Row],[% Complete]],IF(Tasks[[#This Row],[Stage]]="",0,IFERROR(INDEX(stg_Pct,MATCH(Tasks[[#This Row],[Stage]],stg_Name,0)),0)))</f>
        <v>0</v>
      </c>
      <c r="EH152" s="42" t="n">
        <f aca="false">IF(NOT(Tasks[[#This Row],[_IsLeaf]]=1),0,IF(N(Tasks[[#This Row],[Actual Finish]])&gt;0,1,MIN(1,Tasks[[#This Row],[_Pct]])))</f>
        <v>0</v>
      </c>
      <c r="EI152" s="42" t="n">
        <f aca="false">IF(OR(NOT(Tasks[[#This Row],[_IsLeaf]]=1),Tasks[[#This Row],[_Res1Row]]=0),0,N(Tasks[[#This Row],[_Days]])*HoursPerDay*IF(Tasks[[#This Row],[_Units1]]="",DefaultUnits,Tasks[[#This Row],[_Units1]]))</f>
        <v>0</v>
      </c>
      <c r="EJ152" s="42" t="n">
        <f aca="false">Tasks[[#This Row],[_LeafWork]]+Tasks[[#This Row],[_Res2Work]]+Tasks[[#This Row],[_Res3Work]]+Tasks[[#This Row],[_Res4Work]]</f>
        <v>0</v>
      </c>
      <c r="EK1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2" s="42" t="n">
        <f aca="false">IF(NOT(Tasks[[#This Row],[_IsLeaf]]=1),0,MAX(_xlfn.MAXIFS(Tasks[_Row],Tasks[_Pred1UID],Tasks[[#This Row],[UID]]),_xlfn.MAXIFS(Tasks[_Row],Tasks[_Pred2UID],Tasks[[#This Row],[UID]]),_xlfn.MAXIFS(Tasks[_Row],Tasks[_Pred3UID],Tasks[[#This Row],[UID]]),_xlfn.MAXIFS(Tasks[_Row],Tasks[_Pred4UID],Tasks[[#This Row],[UID]])))</f>
        <v>0</v>
      </c>
      <c r="ET1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2" s="89" t="str">
        <f aca="false">IF(NOT(Tasks[[#This Row],[_IsLeaf]]=1),"",IF(N(Tasks[[#This Row],[_Days]])&lt;=0,Tasks[[#This Row],[_LeafLateFinish]],WORKDAY.INTL(Tasks[[#This Row],[_LeafLateFinish]],-(Tasks[[#This Row],[_Days]]-1),WorkWeek,Holidays)))</f>
        <v/>
      </c>
      <c r="EW1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2" s="88" t="b">
        <f aca="false">AND(Tasks[[#This Row],[_IsLeaf]]=1,Tasks[[#This Row],[_LeafProgress]]&lt;1,N(Tasks[[#This Row],[_LeafTotalSlack]])&lt;=CriticalSlackDays)</f>
        <v>0</v>
      </c>
      <c r="EY152" s="42" t="n">
        <f aca="false">IF(AND(Tasks[[#This Row],[_IsLeaf]]=1,Tasks[[#This Row],[_ConstraintCode]]=1,Tasks[[#This Row],[Mode]]&lt;&gt;"Manual",N(Tasks[[#This Row],[Actual Start]])=0),MAX(0,N(Tasks[[#This Row],[Free Slack]])),0)</f>
        <v>0</v>
      </c>
      <c r="EZ152" s="89" t="str">
        <f aca="false">IF(NOT(Tasks[[#This Row],[_IsLeaf]]=1),"",IF(Tasks[[#This Row],[_AlapShift]]=0,Tasks[[#This Row],[_LeafCalcStart]],WORKDAY.INTL(Tasks[[#This Row],[_LeafCalcStart]],Tasks[[#This Row],[_AlapShift]],WorkWeek,Holidays)))</f>
        <v/>
      </c>
      <c r="FA152" s="89" t="str">
        <f aca="false">IF(NOT(Tasks[[#This Row],[_IsLeaf]]=1),"",IF(Tasks[[#This Row],[_AlapShift]]=0,Tasks[[#This Row],[_LeafCalcFinish]],WORKDAY.INTL(Tasks[[#This Row],[_LeafCalcFinish]],Tasks[[#This Row],[_AlapShift]],WorkWeek,Holidays)))</f>
        <v/>
      </c>
      <c r="FB152" s="89" t="str">
        <f aca="false">IF(NOT(Tasks[[#This Row],[_IsLeaf]]=1),"",IF(Tasks[[#This Row],[_AlapShift]]=0,Tasks[[#This Row],[_LeafFcstStart]],WORKDAY.INTL(Tasks[[#This Row],[_LeafFcstStart]],Tasks[[#This Row],[_AlapShift]],WorkWeek,Holidays)))</f>
        <v/>
      </c>
      <c r="FC152" s="89" t="str">
        <f aca="false">IF(NOT(Tasks[[#This Row],[_IsLeaf]]=1),"",IF(Tasks[[#This Row],[_AlapShift]]=0,Tasks[[#This Row],[_LeafFcstFinish]],WORKDAY.INTL(Tasks[[#This Row],[_LeafFcstFinish]],Tasks[[#This Row],[_AlapShift]],WorkWeek,Holidays)))</f>
        <v/>
      </c>
      <c r="FD152" s="89" t="str">
        <f aca="false">IF(Tasks[[#This Row],[Task Name]]="","",IF(Tasks[[#This Row],[_IsSummary]],MIN(INDEX(Tasks[_ShownCalcStart],Tasks[[#This Row],[_Row]]+1):INDEX(Tasks[_ShownCalcStart],Tasks[[#This Row],[_Row]]+Tasks[[#This Row],[_Descendants]])),Tasks[[#This Row],[_ShownCalcStart]]))</f>
        <v/>
      </c>
      <c r="FE152" s="89" t="str">
        <f aca="false">IF(Tasks[[#This Row],[Task Name]]="","",IF(Tasks[[#This Row],[_IsSummary]],MAX(INDEX(Tasks[_ShownCalcFinish],Tasks[[#This Row],[_Row]]+1):INDEX(Tasks[_ShownCalcFinish],Tasks[[#This Row],[_Row]]+Tasks[[#This Row],[_Descendants]])),Tasks[[#This Row],[_ShownCalcFinish]]))</f>
        <v/>
      </c>
      <c r="FF1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2" s="42" t="n">
        <f aca="false">IF(AND(Tasks[[#This Row],[_IsLeaf]]=1,Tasks[[#This Row],[_LeafTotalWork]]&gt;0),NETWORKDAYS.INTL(ProjectStart,Tasks[[#This Row],[_ShownFcstStart]],WorkWeek,Holidays),0)</f>
        <v>0</v>
      </c>
      <c r="FS152" s="42" t="n">
        <f aca="false">IF(AND(Tasks[[#This Row],[_IsLeaf]]=1,Tasks[[#This Row],[_LeafTotalWork]]&gt;0),MAX(Tasks[[#This Row],[_StartWorkday]],NETWORKDAYS.INTL(ProjectStart,Tasks[[#This Row],[_ShownFcstFinish]],WorkWeek,Holidays)),0)</f>
        <v>0</v>
      </c>
      <c r="FT152" s="42" t="n">
        <f aca="false">IF(AND(Tasks[[#This Row],[_IsLeaf]]=1,Tasks[[#This Row],[_LeafTotalWork]]&gt;0),Tasks[[#This Row],[_LeafWork]]/(Tasks[[#This Row],[_FinishWorkday]]-Tasks[[#This Row],[_StartWorkday]]+1),0)</f>
        <v>0</v>
      </c>
      <c r="FU152" s="42" t="n">
        <f aca="false">Tasks[[#This Row],[_WorkPerWorkday]]*(Tasks[[#This Row],[_StartWorkday]]-1)</f>
        <v>-0</v>
      </c>
      <c r="FV152" s="42" t="n">
        <f aca="false">IF(Tasks[[#This Row],[_IsLeaf]]=1,MAX(N(Tasks[[#This Row],[_Days]]),0.1),0)</f>
        <v>0</v>
      </c>
      <c r="FW152" s="42" t="n">
        <f aca="false">Tasks[[#This Row],[_WeightDur]]*Tasks[[#This Row],[_LeafProgress]]</f>
        <v>0</v>
      </c>
      <c r="FX152" s="42" t="n">
        <f aca="false">Tasks[[#This Row],[_WeightDur]]*Tasks[[#This Row],[_PlannedPct]]</f>
        <v>0</v>
      </c>
      <c r="FY1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2" s="42" t="str">
        <f aca="false">IF(AND(Tasks[[#This Row],[_IsLeaf]]=1,N(Tasks[[#This Row],[_Days]])=0,Tasks[[#This Row],[_LeafProgress]]&lt;1),Tasks[[#This Row],[_ShownFcstFinish]]+Tasks[[#This Row],[_Row]]/100000,"")</f>
        <v/>
      </c>
      <c r="GA1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2" s="42" t="str">
        <f aca="false">IF(Tasks[[#This Row],[Task Name]]="","",LEFT(Tasks[[#This Row],[WBS]],FIND(".",Tasks[[#This Row],[WBS]]&amp;".")-1))</f>
        <v/>
      </c>
      <c r="GC152" s="42" t="str">
        <f aca="false">IF(AND(Tasks[[#This Row],[Task Name]]&lt;&gt;"",Tasks[[#This Row],[_Level]]=1),Tasks[[#This Row],[_Row]],"")</f>
        <v/>
      </c>
      <c r="GD152" s="42" t="str">
        <f aca="false">IF(AND(Tasks[[#This Row],[_IsLeaf]]=1,N(Tasks[[#This Row],[_Days]])=0),Tasks[[#This Row],[Planned Finish]]+Tasks[[#This Row],[_Row]]/100000,"")</f>
        <v/>
      </c>
      <c r="GE152" s="42" t="str">
        <f aca="false">IF(AND(Tasks[[#This Row],[_IsLeaf]]=1,Tasks[[#This Row],[_LeafProgress]]&lt;1,OR(N(Tasks[[#This Row],[Finish Var]])&gt;0,Tasks[[#This Row],[Status]]="Late Start")),MAX(0,Tasks[[#This Row],[Finish Var]])+1-Tasks[[#This Row],[_Row]]/1000000,"")</f>
        <v/>
      </c>
      <c r="GF152" s="42" t="str">
        <f aca="false">IF(AND(Tasks[[#This Row],[_IsLeaf]]=1,N(Tasks[[#This Row],[Actual Start]])=0,Tasks[[#This Row],[_ShownFcstStart]]&gt;=StatusDate,Tasks[[#This Row],[_ShownFcstStart]]&lt;=LookaheadEnd),Tasks[[#This Row],[_ShownFcstStart]]+Tasks[[#This Row],[_Row]]/100000,"")</f>
        <v/>
      </c>
      <c r="GG152" s="42" t="str">
        <f aca="false">IF(AND(Tasks[[#This Row],[_IsLeaf]]=1,Tasks[[#This Row],[_LeafProgress]]&lt;1,Tasks[[#This Row],[_ShownFcstFinish]]&gt;=StatusDate,Tasks[[#This Row],[_ShownFcstFinish]]&lt;=LookaheadEnd),Tasks[[#This Row],[_ShownFcstFinish]]+Tasks[[#This Row],[_Row]]/100000,"")</f>
        <v/>
      </c>
      <c r="GH152" s="42" t="str">
        <f aca="false">IF(Tasks[[#This Row],[_LeafCritical]],Tasks[[#This Row],[_ShownFcstStart]]+Tasks[[#This Row],[_Row]]/100000,"")</f>
        <v/>
      </c>
      <c r="GI152" s="42" t="n">
        <f aca="false">Tasks[[#This Row],[_LeafWork]]*Tasks[[#This Row],[_LeafProgress]]</f>
        <v>0</v>
      </c>
      <c r="GJ152" s="89" t="str">
        <f aca="false">IF(AND(Tasks[[#This Row],[_IsLeaf]]=1,Tasks[[#This Row],[_LeafProgress]]&gt;=1),IF(N(Tasks[[#This Row],[Actual Finish]])&gt;0,Tasks[[#This Row],[Actual Finish]],Tasks[[#This Row],[_ShownFcstFinish]]),"")</f>
        <v/>
      </c>
      <c r="GK152" s="42" t="n">
        <f aca="false">IF(Tasks[[#This Row],[_IsLeaf]]=1,N(Tasks[[#This Row],[Story Points]]),0)</f>
        <v>0</v>
      </c>
      <c r="GL152" s="42" t="str">
        <f aca="false">""</f>
        <v/>
      </c>
      <c r="GM152" s="88" t="b">
        <f aca="false">IF(Tasks[[#This Row],[Task Name]]="",FALSE(),AND(Tasks[[#This Row],[_IsLeaf]]=1,N(Tasks[[#This Row],[_Days]])=0))</f>
        <v>0</v>
      </c>
      <c r="GN152" s="89" t="n">
        <f aca="false">IF(Tasks[[#This Row],[Task Name]]="",0,IF(AND(Tasks[[#This Row],[_IsLeaf]]=1,NOT(Tasks[[#This Row],[_IsMilestone]]),N(Tasks[[#This Row],[Progress]])&gt;0),Tasks[[#This Row],[Start]],0))</f>
        <v>0</v>
      </c>
      <c r="GO152" s="89" t="n">
        <f aca="false">IF(Tasks[[#This Row],[_DoneFrom]]=0,0,IF(Tasks[[#This Row],[Progress]]&gt;=1,Tasks[[#This Row],[Finish]],MAX(Tasks[[#This Row],[_DoneFrom]],Tasks[[#This Row],[Start]]+ROUND((Tasks[[#This Row],[Finish]]-Tasks[[#This Row],[Start]]+1)*Tasks[[#This Row],[Progress]],0)-1)))</f>
        <v>0</v>
      </c>
      <c r="GP152" s="89" t="n">
        <f aca="false">IF(Tasks[[#This Row],[Task Name]]="",0,IF(OR(NOT(Tasks[[#This Row],[_IsLeaf]]=1),Tasks[[#This Row],[_IsMilestone]],N(Tasks[[#This Row],[Progress]])&gt;=1),0,IF(Tasks[[#This Row],[_DoneTo]]&gt;0,Tasks[[#This Row],[_DoneTo]]+1,Tasks[[#This Row],[Start]])))</f>
        <v>0</v>
      </c>
      <c r="GQ152" s="89" t="n">
        <f aca="false">IF(Tasks[[#This Row],[_RemFrom]]=0,0,Tasks[[#This Row],[Finish]])</f>
        <v>0</v>
      </c>
      <c r="GR152" s="88" t="b">
        <f aca="false">IF(Tasks[[#This Row],[Task Name]]="",FALSE(),OR(NOT(BaselineSet),N(Tasks[[#This Row],[Baseline Start]])&gt;0))</f>
        <v>0</v>
      </c>
      <c r="GS1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2" s="90" t="str">
        <f aca="false">IF(Tasks[[#This Row],[_IsLeaf]]=1,Tasks[[#This Row],[_Row]],"")</f>
        <v/>
      </c>
      <c r="GW152" s="90" t="str">
        <f aca="false">IFERROR(INDEX(Tasks[UID],SMALL(Tasks[_PickKey],Tasks[[#This Row],[_Row]]))&amp;" "&amp;INDEX(Tasks[Task Name],SMALL(Tasks[_PickKey],Tasks[[#This Row],[_Row]])),"")</f>
        <v/>
      </c>
      <c r="GX152" s="42" t="str">
        <f aca="false">IF(Tasks[[#This Row],[Task Name]]="","",IF(Tasks[[#This Row],[_IsSummary]],NETWORKDAYS.INTL(Tasks[[#This Row],[Start]],Tasks[[#This Row],[Finish]],WorkWeek,Holidays),N(Tasks[[#This Row],[_Days]])))</f>
        <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3"/>
      <c r="U153" s="23"/>
      <c r="V153" s="83"/>
      <c r="W153" s="23"/>
      <c r="X153" s="83"/>
      <c r="Y153" s="23"/>
      <c r="Z153" s="83"/>
      <c r="AA153" s="23"/>
      <c r="AB153" s="23"/>
      <c r="AC153" s="7"/>
      <c r="AD153" s="7"/>
      <c r="AE153" s="62" t="str">
        <f aca="false">IF(Tasks[[#This Row],[Task Name]]="","",IF(Tasks[[#This Row],[_IsSummary]],MIN(INDEX(Tasks[_ShownFcstStart],Tasks[[#This Row],[_Row]]+1):INDEX(Tasks[_ShownFcstStart],Tasks[[#This Row],[_Row]]+Tasks[[#This Row],[_Descendants]])),Tasks[[#This Row],[_ShownFcstStart]]))</f>
        <v/>
      </c>
      <c r="AF153" s="62"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3" s="7"/>
      <c r="AK153" s="22"/>
      <c r="AL153" s="23"/>
      <c r="AM153" s="7"/>
      <c r="AN153" s="46"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2" t="str">
        <f aca="false">IF(Tasks[[#This Row],[Task Name]]="","",IF(N(Tasks[[#This Row],[Baseline Start]])&gt;0,Tasks[[#This Row],[Baseline Start]],Tasks[[#This Row],[_CalcStart]]))</f>
        <v/>
      </c>
      <c r="AR153" s="62" t="str">
        <f aca="false">IF(Tasks[[#This Row],[Task Name]]="","",IF(N(Tasks[[#This Row],[Baseline Finish]])&gt;0,Tasks[[#This Row],[Baseline Finish]],Tasks[[#This Row],[_CalcFinish]]))</f>
        <v/>
      </c>
      <c r="AS153" s="46" t="str">
        <f aca="false">IF(Tasks[[#This Row],[Task Name]]="","",IF(Tasks[[#This Row],[Start]]&gt;=Tasks[[#This Row],[Planned Start]],NETWORKDAYS.INTL(Tasks[[#This Row],[Planned Start]],Tasks[[#This Row],[Start]],WorkWeek,Holidays)-1,1-NETWORKDAYS.INTL(Tasks[[#This Row],[Start]],Tasks[[#This Row],[Planned Start]],WorkWeek,Holidays)))</f>
        <v/>
      </c>
      <c r="AT153" s="62" t="str">
        <f aca="false">IF(Tasks[[#This Row],[Task Name]]="","",IF(Tasks[[#This Row],[_IsSummary]],MIN(INDEX(Tasks[_LeafLateStart],Tasks[[#This Row],[_Row]]+1):INDEX(Tasks[_LeafLateStart],Tasks[[#This Row],[_Row]]+Tasks[[#This Row],[_Descendants]])),Tasks[[#This Row],[_LeafLateStart]]))</f>
        <v/>
      </c>
      <c r="AU153" s="62" t="str">
        <f aca="false">IF(Tasks[[#This Row],[Task Name]]="","",IF(Tasks[[#This Row],[_IsSummary]],MAX(INDEX(Tasks[_LeafLateFinish],Tasks[[#This Row],[_Row]]+1):INDEX(Tasks[_LeafLateFinish],Tasks[[#This Row],[_Row]]+Tasks[[#This Row],[_Descendants]])),Tasks[[#This Row],[_LeafLateFinish]]))</f>
        <v/>
      </c>
      <c r="AV153" s="46"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4"/>
      <c r="BA1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5"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6"/>
      <c r="BJ153" s="22"/>
      <c r="BK153" s="46" t="str">
        <f aca="false">IF(OR(Tasks[[#This Row],[Task Name]]="",Tasks[[#This Row],[Baseline Duration]]=""),"",Tasks[[#This Row],[_SpanDays]]-N(Tasks[[#This Row],[Baseline Duration]]))</f>
        <v/>
      </c>
      <c r="BL153" s="85" t="str">
        <f aca="false">IF(OR(Tasks[[#This Row],[Task Name]]="",Tasks[[#This Row],[Baseline Work]]=""),"",Tasks[[#This Row],[Work]]-N(Tasks[[#This Row],[Baseline Work]]))</f>
        <v/>
      </c>
      <c r="BM153" s="62" t="str">
        <f aca="false">IF(Tasks[[#This Row],[Task Name]]="","",IF(OR(TakeBaseline="Yes",N(Tasks[[#This Row],[Baseline Start]])=0),Tasks[[#This Row],[Start]],Tasks[[#This Row],[Baseline Start]]))</f>
        <v/>
      </c>
      <c r="BN153" s="62"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5" t="str">
        <f aca="false">IF(Tasks[[#This Row],[Task Name]]="","",IF(OR(TakeBaseline="Yes",N(Tasks[[#This Row],[Baseline Work]])=0),Tasks[[#This Row],[Work]],Tasks[[#This Row],[Baseline Work]]))</f>
        <v/>
      </c>
      <c r="BQ153" s="7"/>
      <c r="BR153" s="7"/>
      <c r="BS153" s="22"/>
      <c r="BT153" s="87"/>
      <c r="BU153" s="42" t="str">
        <f aca="false">IF(Tasks[[#This Row],[Task Name]]="","",MAX(1,N(Tasks[[#This Row],[Level]])))</f>
        <v/>
      </c>
      <c r="BV153" s="42" t="n">
        <f aca="false">ROW()-ROW(Tasks[[#Headers],[ID]])</f>
        <v>148</v>
      </c>
      <c r="BW153" s="42" t="n">
        <f aca="false">IF(OR(Tasks[[#This Row],[Task Name]]="",Tasks[[#This Row],[_Level]]&lt;=1),0,IFERROR(LOOKUP(2,1/(Tasks[[#Headers],[_Level]]:Tasks[[#This Row],[_Level]]=Tasks[[#This Row],[_Level]]-1),ROW(Tasks[[#Headers],[_Level]]:Tasks[[#This Row],[_Level]])),0))</f>
        <v>0</v>
      </c>
      <c r="BX153" s="42" t="n">
        <f aca="false">IFERROR(N(INDEX(Tasks[_Level],Tasks[[#This Row],[_Row]]+1)),0)</f>
        <v>0</v>
      </c>
      <c r="BY153" s="88" t="b">
        <f aca="false">AND(Tasks[[#This Row],[Task Name]]&lt;&gt;"",Tasks[[#This Row],[_NextLevel]]&gt;Tasks[[#This Row],[_Level]])</f>
        <v>0</v>
      </c>
      <c r="BZ153" s="42" t="n">
        <f aca="false">IF(Tasks[[#This Row],[_IsSummary]],COUNTIF(Tasks[WBS],Tasks[[#This Row],[WBS]]&amp;".*"),0)</f>
        <v>0</v>
      </c>
      <c r="CA153" s="42" t="n">
        <f aca="false">IF(AND(Tasks[[#This Row],[Task Name]]&lt;&gt;"",NOT(Tasks[[#This Row],[_IsSummary]])),1,0)</f>
        <v>0</v>
      </c>
      <c r="CB153" s="42" t="n">
        <f aca="false">IF(N(Tasks[[#This Row],[_Pred1UID]])=0,0,IFERROR(MATCH(Tasks[[#This Row],[_Pred1UID]],Tasks[UID],0),-1))</f>
        <v>0</v>
      </c>
      <c r="CC153" s="42" t="n">
        <f aca="false">IF(N(Tasks[[#This Row],[_Pred2UID]])=0,0,IFERROR(MATCH(Tasks[[#This Row],[_Pred2UID]],Tasks[UID],0),-1))</f>
        <v>0</v>
      </c>
      <c r="CD153" s="42" t="n">
        <f aca="false">IF(N(Tasks[[#This Row],[_Pred3UID]])=0,0,IFERROR(MATCH(Tasks[[#This Row],[_Pred3UID]],Tasks[UID],0),-1))</f>
        <v>0</v>
      </c>
      <c r="CE153" s="42" t="n">
        <f aca="false">IF(N(Tasks[[#This Row],[_Pred4UID]])=0,0,IFERROR(MATCH(Tasks[[#This Row],[_Pred4UID]],Tasks[UID],0),-1))</f>
        <v>0</v>
      </c>
      <c r="CF1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3" s="89" t="n">
        <f aca="false">IF(OR(Tasks[[#This Row],[_ConstraintCode]]=2,Tasks[[#This Row],[_ConstraintCode]]=3,Tasks[[#This Row],[_ConstraintCode]]=4,Tasks[[#This Row],[_ConstraintCode]]=6),Tasks[[#This Row],[_ConstraintStart]],0)</f>
        <v>0</v>
      </c>
      <c r="CI153" s="89" t="n">
        <f aca="false">IF(OR(Tasks[[#This Row],[_ConstraintCode]]=2,Tasks[[#This Row],[_ConstraintCode]]=3,Tasks[[#This Row],[_ConstraintCode]]=5,Tasks[[#This Row],[_ConstraintCode]]=7),Tasks[[#This Row],[_ConstraintStart]],2958465)</f>
        <v>2958465</v>
      </c>
      <c r="CJ1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3" s="89" t="str">
        <f aca="false">IF(NOT(Tasks[[#This Row],[_IsLeaf]]=1),"",IF(N(Tasks[[#This Row],[_Days]])&lt;=0,Tasks[[#This Row],[_LeafCalcStart]],WORKDAY.INTL(Tasks[[#This Row],[_LeafCalcStart]],Tasks[[#This Row],[_Days]]-1,WorkWeek,Holidays)))</f>
        <v/>
      </c>
      <c r="CL1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3" s="42" t="str">
        <f aca="false">IF(Tasks[[#This Row],[_Predecessors]]="","",TRIM(MID(SUBSTITUTE(SUBSTITUTE(SUBSTITUTE(UPPER(Tasks[[#This Row],[_Predecessors]]),";",",")," ",""),",",REPT(" ",99)),1,99)))</f>
        <v/>
      </c>
      <c r="CO153" s="42" t="str">
        <f aca="false">IF(Tasks[[#This Row],[_Pred1Text]]="","",IFERROR(VALUE(LEFT(Tasks[[#This Row],[_Pred1Text]],MIN(FIND("F",Tasks[[#This Row],[_Pred1Text]]&amp;"F"),FIND("S",Tasks[[#This Row],[_Pred1Text]]&amp;"S"),FIND("+",Tasks[[#This Row],[_Pred1Text]]&amp;"+"),FIND("-",Tasks[[#This Row],[_Pred1Text]]&amp;"-"))-1)),""))</f>
        <v/>
      </c>
      <c r="CP1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3" s="42" t="str">
        <f aca="false">IF(Tasks[[#This Row],[_Pred1Text]]="","",TRIM(MID(SUBSTITUTE(SUBSTITUTE(SUBSTITUTE(UPPER(Tasks[[#This Row],[_Predecessors]]),";",",")," ",""),",",REPT(" ",99)),100,99)))</f>
        <v/>
      </c>
      <c r="CS153" s="42" t="str">
        <f aca="false">IF(Tasks[[#This Row],[_Pred2Text]]="","",IFERROR(VALUE(LEFT(Tasks[[#This Row],[_Pred2Text]],MIN(FIND("F",Tasks[[#This Row],[_Pred2Text]]&amp;"F"),FIND("S",Tasks[[#This Row],[_Pred2Text]]&amp;"S"),FIND("+",Tasks[[#This Row],[_Pred2Text]]&amp;"+"),FIND("-",Tasks[[#This Row],[_Pred2Text]]&amp;"-"))-1)),""))</f>
        <v/>
      </c>
      <c r="CT1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3" s="42" t="str">
        <f aca="false">IF(Tasks[[#This Row],[_Pred2Text]]="","",TRIM(MID(SUBSTITUTE(SUBSTITUTE(SUBSTITUTE(UPPER(Tasks[[#This Row],[_Predecessors]]),";",",")," ",""),",",REPT(" ",99)),199,99)))</f>
        <v/>
      </c>
      <c r="CW153" s="42" t="str">
        <f aca="false">IF(Tasks[[#This Row],[_Pred3Text]]="","",IFERROR(VALUE(LEFT(Tasks[[#This Row],[_Pred3Text]],MIN(FIND("F",Tasks[[#This Row],[_Pred3Text]]&amp;"F"),FIND("S",Tasks[[#This Row],[_Pred3Text]]&amp;"S"),FIND("+",Tasks[[#This Row],[_Pred3Text]]&amp;"+"),FIND("-",Tasks[[#This Row],[_Pred3Text]]&amp;"-"))-1)),""))</f>
        <v/>
      </c>
      <c r="CX1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3" s="42" t="str">
        <f aca="false">IF(Tasks[[#This Row],[_Pred3Text]]="","",TRIM(MID(SUBSTITUTE(SUBSTITUTE(SUBSTITUTE(UPPER(Tasks[[#This Row],[_Predecessors]]),";",",")," ",""),",",REPT(" ",99)),298,99)))</f>
        <v/>
      </c>
      <c r="DA153" s="42" t="str">
        <f aca="false">IF(Tasks[[#This Row],[_Pred4Text]]="","",IFERROR(VALUE(LEFT(Tasks[[#This Row],[_Pred4Text]],MIN(FIND("F",Tasks[[#This Row],[_Pred4Text]]&amp;"F"),FIND("S",Tasks[[#This Row],[_Pred4Text]]&amp;"S"),FIND("+",Tasks[[#This Row],[_Pred4Text]]&amp;"+"),FIND("-",Tasks[[#This Row],[_Pred4Text]]&amp;"-"))-1)),""))</f>
        <v/>
      </c>
      <c r="DB1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3" s="42" t="str">
        <f aca="false">IF(OR(Tasks[[#This Row],[Task Name]]="",Tasks[[#This Row],[_Resources]]=""),"",TRIM(MID(SUBSTITUTE(Tasks[[#This Row],[_Resources]],",",REPT(" ",99)),1,99)))</f>
        <v/>
      </c>
      <c r="DE153" s="42" t="str">
        <f aca="false">IF(Tasks[[#This Row],[_Res1Text]]="","",TRIM(MID(SUBSTITUTE(Tasks[[#This Row],[_Resources]],",",REPT(" ",99)),100,99)))</f>
        <v/>
      </c>
      <c r="DF153" s="42" t="str">
        <f aca="false">IF(Tasks[[#This Row],[_Res2Text]]="","",TRIM(MID(SUBSTITUTE(Tasks[[#This Row],[_Resources]],",",REPT(" ",99)),199,99)))</f>
        <v/>
      </c>
      <c r="DG153" s="42" t="str">
        <f aca="false">IF(Tasks[[#This Row],[_Res3Text]]="","",TRIM(MID(SUBSTITUTE(Tasks[[#This Row],[_Resources]],",",REPT(" ",99)),298,99)))</f>
        <v/>
      </c>
      <c r="DH153" s="42" t="n">
        <f aca="false">IF(Tasks[[#This Row],[_Res1Text]]="",0,IFERROR(MATCH(TRIM(LEFT(Tasks[[#This Row],[_Res1Text]],FIND("[",Tasks[[#This Row],[_Res1Text]]&amp;"[")-1)),res_Name,0),IFERROR(MATCH(TRIM(LEFT(Tasks[[#This Row],[_Res1Text]],FIND("[",Tasks[[#This Row],[_Res1Text]]&amp;"[")-1)),res_Initials,0),0)))</f>
        <v>0</v>
      </c>
      <c r="DI153" s="42" t="n">
        <f aca="false">IF(Tasks[[#This Row],[_Res2Text]]="",0,IFERROR(MATCH(TRIM(LEFT(Tasks[[#This Row],[_Res2Text]],FIND("[",Tasks[[#This Row],[_Res2Text]]&amp;"[")-1)),res_Name,0),IFERROR(MATCH(TRIM(LEFT(Tasks[[#This Row],[_Res2Text]],FIND("[",Tasks[[#This Row],[_Res2Text]]&amp;"[")-1)),res_Initials,0),0)))</f>
        <v>0</v>
      </c>
      <c r="DJ153" s="42" t="n">
        <f aca="false">IF(Tasks[[#This Row],[_Res3Text]]="",0,IFERROR(MATCH(TRIM(LEFT(Tasks[[#This Row],[_Res3Text]],FIND("[",Tasks[[#This Row],[_Res3Text]]&amp;"[")-1)),res_Name,0),IFERROR(MATCH(TRIM(LEFT(Tasks[[#This Row],[_Res3Text]],FIND("[",Tasks[[#This Row],[_Res3Text]]&amp;"[")-1)),res_Initials,0),0)))</f>
        <v>0</v>
      </c>
      <c r="DK153" s="42" t="n">
        <f aca="false">IF(Tasks[[#This Row],[_Res4Text]]="",0,IFERROR(MATCH(TRIM(LEFT(Tasks[[#This Row],[_Res4Text]],FIND("[",Tasks[[#This Row],[_Res4Text]]&amp;"[")-1)),res_Name,0),IFERROR(MATCH(TRIM(LEFT(Tasks[[#This Row],[_Res4Text]],FIND("[",Tasks[[#This Row],[_Res4Text]]&amp;"[")-1)),res_Initials,0),0)))</f>
        <v>0</v>
      </c>
      <c r="DL153" s="42" t="str">
        <f aca="false">IF(Tasks[[#This Row],[_Res1Text]]="","",IF(Tasks[[#This Row],[_Res1Row]]&gt;0,INDEX(res_Name,Tasks[[#This Row],[_Res1Row]]),TRIM(LEFT(Tasks[[#This Row],[_Res1Text]],FIND("[",Tasks[[#This Row],[_Res1Text]]&amp;"[")-1))))</f>
        <v/>
      </c>
      <c r="DM1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3" s="42" t="n">
        <f aca="false">IF(NOT(Tasks[[#This Row],[_IsLeaf]]=1),0,(Tasks[[#This Row],[_Resource1]]&lt;&gt;"")+(Tasks[[#This Row],[_Res2]]&lt;&gt;"")+(Tasks[[#This Row],[_Res3]]&lt;&gt;"")+(Tasks[[#This Row],[_Res4]]&lt;&gt;""))</f>
        <v>0</v>
      </c>
      <c r="DO153" s="42" t="str">
        <f aca="false">IF(Tasks[[#This Row],[_Res2Text]]="","",IF(Tasks[[#This Row],[_Res2Row]]&gt;0,INDEX(res_Name,Tasks[[#This Row],[_Res2Row]]),TRIM(LEFT(Tasks[[#This Row],[_Res2Text]],FIND("[",Tasks[[#This Row],[_Res2Text]]&amp;"[")-1))))</f>
        <v/>
      </c>
      <c r="DP1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3" s="42" t="n">
        <f aca="false">IF(OR(NOT(Tasks[[#This Row],[_IsLeaf]]=1),Tasks[[#This Row],[_Res2Row]]=0),0,N(Tasks[[#This Row],[_Days]])*HoursPerDay*IF(Tasks[[#This Row],[_Res2Units]]="",DefaultUnits,Tasks[[#This Row],[_Res2Units]]))</f>
        <v>0</v>
      </c>
      <c r="DR153" s="42" t="n">
        <f aca="false">IF(AND(AND(Tasks[[#This Row],[_IsLeaf]]=1,Tasks[[#This Row],[_LeafTotalWork]]&gt;0),Tasks[[#This Row],[_Res2Work]]&gt;0),Tasks[[#This Row],[_Res2Work]]/(Tasks[[#This Row],[_FinishWorkday]]-Tasks[[#This Row],[_StartWorkday]]+1),0)</f>
        <v>0</v>
      </c>
      <c r="DS153" s="42" t="n">
        <f aca="false">Tasks[[#This Row],[_Res2WorkPerWD]]*MAX(0,Tasks[[#This Row],[_StartWorkday]]-1)</f>
        <v>0</v>
      </c>
      <c r="DT153" s="42" t="n">
        <f aca="false">Tasks[[#This Row],[_Res2Work]]*Tasks[[#This Row],[_LeafProgress]]</f>
        <v>0</v>
      </c>
      <c r="DU153" s="42" t="str">
        <f aca="false">IF(Tasks[[#This Row],[_Res3Text]]="","",IF(Tasks[[#This Row],[_Res3Row]]&gt;0,INDEX(res_Name,Tasks[[#This Row],[_Res3Row]]),TRIM(LEFT(Tasks[[#This Row],[_Res3Text]],FIND("[",Tasks[[#This Row],[_Res3Text]]&amp;"[")-1))))</f>
        <v/>
      </c>
      <c r="DV1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3" s="42" t="n">
        <f aca="false">IF(OR(NOT(Tasks[[#This Row],[_IsLeaf]]=1),Tasks[[#This Row],[_Res3Row]]=0),0,N(Tasks[[#This Row],[_Days]])*HoursPerDay*IF(Tasks[[#This Row],[_Res3Units]]="",DefaultUnits,Tasks[[#This Row],[_Res3Units]]))</f>
        <v>0</v>
      </c>
      <c r="DX153" s="42" t="n">
        <f aca="false">IF(AND(AND(Tasks[[#This Row],[_IsLeaf]]=1,Tasks[[#This Row],[_LeafTotalWork]]&gt;0),Tasks[[#This Row],[_Res3Work]]&gt;0),Tasks[[#This Row],[_Res3Work]]/(Tasks[[#This Row],[_FinishWorkday]]-Tasks[[#This Row],[_StartWorkday]]+1),0)</f>
        <v>0</v>
      </c>
      <c r="DY153" s="42" t="n">
        <f aca="false">Tasks[[#This Row],[_Res3WorkPerWD]]*MAX(0,Tasks[[#This Row],[_StartWorkday]]-1)</f>
        <v>0</v>
      </c>
      <c r="DZ153" s="42" t="n">
        <f aca="false">Tasks[[#This Row],[_Res3Work]]*Tasks[[#This Row],[_LeafProgress]]</f>
        <v>0</v>
      </c>
      <c r="EA153" s="42" t="str">
        <f aca="false">IF(Tasks[[#This Row],[_Res4Text]]="","",IF(Tasks[[#This Row],[_Res4Row]]&gt;0,INDEX(res_Name,Tasks[[#This Row],[_Res4Row]]),TRIM(LEFT(Tasks[[#This Row],[_Res4Text]],FIND("[",Tasks[[#This Row],[_Res4Text]]&amp;"[")-1))))</f>
        <v/>
      </c>
      <c r="EB1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3" s="42" t="n">
        <f aca="false">IF(OR(NOT(Tasks[[#This Row],[_IsLeaf]]=1),Tasks[[#This Row],[_Res4Row]]=0),0,N(Tasks[[#This Row],[_Days]])*HoursPerDay*IF(Tasks[[#This Row],[_Res4Units]]="",DefaultUnits,Tasks[[#This Row],[_Res4Units]]))</f>
        <v>0</v>
      </c>
      <c r="ED153" s="42" t="n">
        <f aca="false">IF(AND(AND(Tasks[[#This Row],[_IsLeaf]]=1,Tasks[[#This Row],[_LeafTotalWork]]&gt;0),Tasks[[#This Row],[_Res4Work]]&gt;0),Tasks[[#This Row],[_Res4Work]]/(Tasks[[#This Row],[_FinishWorkday]]-Tasks[[#This Row],[_StartWorkday]]+1),0)</f>
        <v>0</v>
      </c>
      <c r="EE153" s="42" t="n">
        <f aca="false">Tasks[[#This Row],[_Res4WorkPerWD]]*MAX(0,Tasks[[#This Row],[_StartWorkday]]-1)</f>
        <v>0</v>
      </c>
      <c r="EF153" s="42" t="n">
        <f aca="false">Tasks[[#This Row],[_Res4Work]]*Tasks[[#This Row],[_LeafProgress]]</f>
        <v>0</v>
      </c>
      <c r="EG153" s="42" t="n">
        <f aca="false">IF(ISNUMBER(Tasks[[#This Row],[% Complete]]),Tasks[[#This Row],[% Complete]],IF(Tasks[[#This Row],[Stage]]="",0,IFERROR(INDEX(stg_Pct,MATCH(Tasks[[#This Row],[Stage]],stg_Name,0)),0)))</f>
        <v>0</v>
      </c>
      <c r="EH153" s="42" t="n">
        <f aca="false">IF(NOT(Tasks[[#This Row],[_IsLeaf]]=1),0,IF(N(Tasks[[#This Row],[Actual Finish]])&gt;0,1,MIN(1,Tasks[[#This Row],[_Pct]])))</f>
        <v>0</v>
      </c>
      <c r="EI153" s="42" t="n">
        <f aca="false">IF(OR(NOT(Tasks[[#This Row],[_IsLeaf]]=1),Tasks[[#This Row],[_Res1Row]]=0),0,N(Tasks[[#This Row],[_Days]])*HoursPerDay*IF(Tasks[[#This Row],[_Units1]]="",DefaultUnits,Tasks[[#This Row],[_Units1]]))</f>
        <v>0</v>
      </c>
      <c r="EJ153" s="42" t="n">
        <f aca="false">Tasks[[#This Row],[_LeafWork]]+Tasks[[#This Row],[_Res2Work]]+Tasks[[#This Row],[_Res3Work]]+Tasks[[#This Row],[_Res4Work]]</f>
        <v>0</v>
      </c>
      <c r="EK1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3" s="42" t="n">
        <f aca="false">IF(NOT(Tasks[[#This Row],[_IsLeaf]]=1),0,MAX(_xlfn.MAXIFS(Tasks[_Row],Tasks[_Pred1UID],Tasks[[#This Row],[UID]]),_xlfn.MAXIFS(Tasks[_Row],Tasks[_Pred2UID],Tasks[[#This Row],[UID]]),_xlfn.MAXIFS(Tasks[_Row],Tasks[_Pred3UID],Tasks[[#This Row],[UID]]),_xlfn.MAXIFS(Tasks[_Row],Tasks[_Pred4UID],Tasks[[#This Row],[UID]])))</f>
        <v>0</v>
      </c>
      <c r="ET1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3" s="89" t="str">
        <f aca="false">IF(NOT(Tasks[[#This Row],[_IsLeaf]]=1),"",IF(N(Tasks[[#This Row],[_Days]])&lt;=0,Tasks[[#This Row],[_LeafLateFinish]],WORKDAY.INTL(Tasks[[#This Row],[_LeafLateFinish]],-(Tasks[[#This Row],[_Days]]-1),WorkWeek,Holidays)))</f>
        <v/>
      </c>
      <c r="EW1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3" s="88" t="b">
        <f aca="false">AND(Tasks[[#This Row],[_IsLeaf]]=1,Tasks[[#This Row],[_LeafProgress]]&lt;1,N(Tasks[[#This Row],[_LeafTotalSlack]])&lt;=CriticalSlackDays)</f>
        <v>0</v>
      </c>
      <c r="EY153" s="42" t="n">
        <f aca="false">IF(AND(Tasks[[#This Row],[_IsLeaf]]=1,Tasks[[#This Row],[_ConstraintCode]]=1,Tasks[[#This Row],[Mode]]&lt;&gt;"Manual",N(Tasks[[#This Row],[Actual Start]])=0),MAX(0,N(Tasks[[#This Row],[Free Slack]])),0)</f>
        <v>0</v>
      </c>
      <c r="EZ153" s="89" t="str">
        <f aca="false">IF(NOT(Tasks[[#This Row],[_IsLeaf]]=1),"",IF(Tasks[[#This Row],[_AlapShift]]=0,Tasks[[#This Row],[_LeafCalcStart]],WORKDAY.INTL(Tasks[[#This Row],[_LeafCalcStart]],Tasks[[#This Row],[_AlapShift]],WorkWeek,Holidays)))</f>
        <v/>
      </c>
      <c r="FA153" s="89" t="str">
        <f aca="false">IF(NOT(Tasks[[#This Row],[_IsLeaf]]=1),"",IF(Tasks[[#This Row],[_AlapShift]]=0,Tasks[[#This Row],[_LeafCalcFinish]],WORKDAY.INTL(Tasks[[#This Row],[_LeafCalcFinish]],Tasks[[#This Row],[_AlapShift]],WorkWeek,Holidays)))</f>
        <v/>
      </c>
      <c r="FB153" s="89" t="str">
        <f aca="false">IF(NOT(Tasks[[#This Row],[_IsLeaf]]=1),"",IF(Tasks[[#This Row],[_AlapShift]]=0,Tasks[[#This Row],[_LeafFcstStart]],WORKDAY.INTL(Tasks[[#This Row],[_LeafFcstStart]],Tasks[[#This Row],[_AlapShift]],WorkWeek,Holidays)))</f>
        <v/>
      </c>
      <c r="FC153" s="89" t="str">
        <f aca="false">IF(NOT(Tasks[[#This Row],[_IsLeaf]]=1),"",IF(Tasks[[#This Row],[_AlapShift]]=0,Tasks[[#This Row],[_LeafFcstFinish]],WORKDAY.INTL(Tasks[[#This Row],[_LeafFcstFinish]],Tasks[[#This Row],[_AlapShift]],WorkWeek,Holidays)))</f>
        <v/>
      </c>
      <c r="FD153" s="89" t="str">
        <f aca="false">IF(Tasks[[#This Row],[Task Name]]="","",IF(Tasks[[#This Row],[_IsSummary]],MIN(INDEX(Tasks[_ShownCalcStart],Tasks[[#This Row],[_Row]]+1):INDEX(Tasks[_ShownCalcStart],Tasks[[#This Row],[_Row]]+Tasks[[#This Row],[_Descendants]])),Tasks[[#This Row],[_ShownCalcStart]]))</f>
        <v/>
      </c>
      <c r="FE153" s="89" t="str">
        <f aca="false">IF(Tasks[[#This Row],[Task Name]]="","",IF(Tasks[[#This Row],[_IsSummary]],MAX(INDEX(Tasks[_ShownCalcFinish],Tasks[[#This Row],[_Row]]+1):INDEX(Tasks[_ShownCalcFinish],Tasks[[#This Row],[_Row]]+Tasks[[#This Row],[_Descendants]])),Tasks[[#This Row],[_ShownCalcFinish]]))</f>
        <v/>
      </c>
      <c r="FF1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3" s="42" t="n">
        <f aca="false">IF(AND(Tasks[[#This Row],[_IsLeaf]]=1,Tasks[[#This Row],[_LeafTotalWork]]&gt;0),NETWORKDAYS.INTL(ProjectStart,Tasks[[#This Row],[_ShownFcstStart]],WorkWeek,Holidays),0)</f>
        <v>0</v>
      </c>
      <c r="FS153" s="42" t="n">
        <f aca="false">IF(AND(Tasks[[#This Row],[_IsLeaf]]=1,Tasks[[#This Row],[_LeafTotalWork]]&gt;0),MAX(Tasks[[#This Row],[_StartWorkday]],NETWORKDAYS.INTL(ProjectStart,Tasks[[#This Row],[_ShownFcstFinish]],WorkWeek,Holidays)),0)</f>
        <v>0</v>
      </c>
      <c r="FT153" s="42" t="n">
        <f aca="false">IF(AND(Tasks[[#This Row],[_IsLeaf]]=1,Tasks[[#This Row],[_LeafTotalWork]]&gt;0),Tasks[[#This Row],[_LeafWork]]/(Tasks[[#This Row],[_FinishWorkday]]-Tasks[[#This Row],[_StartWorkday]]+1),0)</f>
        <v>0</v>
      </c>
      <c r="FU153" s="42" t="n">
        <f aca="false">Tasks[[#This Row],[_WorkPerWorkday]]*(Tasks[[#This Row],[_StartWorkday]]-1)</f>
        <v>-0</v>
      </c>
      <c r="FV153" s="42" t="n">
        <f aca="false">IF(Tasks[[#This Row],[_IsLeaf]]=1,MAX(N(Tasks[[#This Row],[_Days]]),0.1),0)</f>
        <v>0</v>
      </c>
      <c r="FW153" s="42" t="n">
        <f aca="false">Tasks[[#This Row],[_WeightDur]]*Tasks[[#This Row],[_LeafProgress]]</f>
        <v>0</v>
      </c>
      <c r="FX153" s="42" t="n">
        <f aca="false">Tasks[[#This Row],[_WeightDur]]*Tasks[[#This Row],[_PlannedPct]]</f>
        <v>0</v>
      </c>
      <c r="FY1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3" s="42" t="str">
        <f aca="false">IF(AND(Tasks[[#This Row],[_IsLeaf]]=1,N(Tasks[[#This Row],[_Days]])=0,Tasks[[#This Row],[_LeafProgress]]&lt;1),Tasks[[#This Row],[_ShownFcstFinish]]+Tasks[[#This Row],[_Row]]/100000,"")</f>
        <v/>
      </c>
      <c r="GA1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3" s="42" t="str">
        <f aca="false">IF(Tasks[[#This Row],[Task Name]]="","",LEFT(Tasks[[#This Row],[WBS]],FIND(".",Tasks[[#This Row],[WBS]]&amp;".")-1))</f>
        <v/>
      </c>
      <c r="GC153" s="42" t="str">
        <f aca="false">IF(AND(Tasks[[#This Row],[Task Name]]&lt;&gt;"",Tasks[[#This Row],[_Level]]=1),Tasks[[#This Row],[_Row]],"")</f>
        <v/>
      </c>
      <c r="GD153" s="42" t="str">
        <f aca="false">IF(AND(Tasks[[#This Row],[_IsLeaf]]=1,N(Tasks[[#This Row],[_Days]])=0),Tasks[[#This Row],[Planned Finish]]+Tasks[[#This Row],[_Row]]/100000,"")</f>
        <v/>
      </c>
      <c r="GE153" s="42" t="str">
        <f aca="false">IF(AND(Tasks[[#This Row],[_IsLeaf]]=1,Tasks[[#This Row],[_LeafProgress]]&lt;1,OR(N(Tasks[[#This Row],[Finish Var]])&gt;0,Tasks[[#This Row],[Status]]="Late Start")),MAX(0,Tasks[[#This Row],[Finish Var]])+1-Tasks[[#This Row],[_Row]]/1000000,"")</f>
        <v/>
      </c>
      <c r="GF153" s="42" t="str">
        <f aca="false">IF(AND(Tasks[[#This Row],[_IsLeaf]]=1,N(Tasks[[#This Row],[Actual Start]])=0,Tasks[[#This Row],[_ShownFcstStart]]&gt;=StatusDate,Tasks[[#This Row],[_ShownFcstStart]]&lt;=LookaheadEnd),Tasks[[#This Row],[_ShownFcstStart]]+Tasks[[#This Row],[_Row]]/100000,"")</f>
        <v/>
      </c>
      <c r="GG153" s="42" t="str">
        <f aca="false">IF(AND(Tasks[[#This Row],[_IsLeaf]]=1,Tasks[[#This Row],[_LeafProgress]]&lt;1,Tasks[[#This Row],[_ShownFcstFinish]]&gt;=StatusDate,Tasks[[#This Row],[_ShownFcstFinish]]&lt;=LookaheadEnd),Tasks[[#This Row],[_ShownFcstFinish]]+Tasks[[#This Row],[_Row]]/100000,"")</f>
        <v/>
      </c>
      <c r="GH153" s="42" t="str">
        <f aca="false">IF(Tasks[[#This Row],[_LeafCritical]],Tasks[[#This Row],[_ShownFcstStart]]+Tasks[[#This Row],[_Row]]/100000,"")</f>
        <v/>
      </c>
      <c r="GI153" s="42" t="n">
        <f aca="false">Tasks[[#This Row],[_LeafWork]]*Tasks[[#This Row],[_LeafProgress]]</f>
        <v>0</v>
      </c>
      <c r="GJ153" s="89" t="str">
        <f aca="false">IF(AND(Tasks[[#This Row],[_IsLeaf]]=1,Tasks[[#This Row],[_LeafProgress]]&gt;=1),IF(N(Tasks[[#This Row],[Actual Finish]])&gt;0,Tasks[[#This Row],[Actual Finish]],Tasks[[#This Row],[_ShownFcstFinish]]),"")</f>
        <v/>
      </c>
      <c r="GK153" s="42" t="n">
        <f aca="false">IF(Tasks[[#This Row],[_IsLeaf]]=1,N(Tasks[[#This Row],[Story Points]]),0)</f>
        <v>0</v>
      </c>
      <c r="GL153" s="42" t="str">
        <f aca="false">""</f>
        <v/>
      </c>
      <c r="GM153" s="88" t="b">
        <f aca="false">IF(Tasks[[#This Row],[Task Name]]="",FALSE(),AND(Tasks[[#This Row],[_IsLeaf]]=1,N(Tasks[[#This Row],[_Days]])=0))</f>
        <v>0</v>
      </c>
      <c r="GN153" s="89" t="n">
        <f aca="false">IF(Tasks[[#This Row],[Task Name]]="",0,IF(AND(Tasks[[#This Row],[_IsLeaf]]=1,NOT(Tasks[[#This Row],[_IsMilestone]]),N(Tasks[[#This Row],[Progress]])&gt;0),Tasks[[#This Row],[Start]],0))</f>
        <v>0</v>
      </c>
      <c r="GO153" s="89" t="n">
        <f aca="false">IF(Tasks[[#This Row],[_DoneFrom]]=0,0,IF(Tasks[[#This Row],[Progress]]&gt;=1,Tasks[[#This Row],[Finish]],MAX(Tasks[[#This Row],[_DoneFrom]],Tasks[[#This Row],[Start]]+ROUND((Tasks[[#This Row],[Finish]]-Tasks[[#This Row],[Start]]+1)*Tasks[[#This Row],[Progress]],0)-1)))</f>
        <v>0</v>
      </c>
      <c r="GP153" s="89" t="n">
        <f aca="false">IF(Tasks[[#This Row],[Task Name]]="",0,IF(OR(NOT(Tasks[[#This Row],[_IsLeaf]]=1),Tasks[[#This Row],[_IsMilestone]],N(Tasks[[#This Row],[Progress]])&gt;=1),0,IF(Tasks[[#This Row],[_DoneTo]]&gt;0,Tasks[[#This Row],[_DoneTo]]+1,Tasks[[#This Row],[Start]])))</f>
        <v>0</v>
      </c>
      <c r="GQ153" s="89" t="n">
        <f aca="false">IF(Tasks[[#This Row],[_RemFrom]]=0,0,Tasks[[#This Row],[Finish]])</f>
        <v>0</v>
      </c>
      <c r="GR153" s="88" t="b">
        <f aca="false">IF(Tasks[[#This Row],[Task Name]]="",FALSE(),OR(NOT(BaselineSet),N(Tasks[[#This Row],[Baseline Start]])&gt;0))</f>
        <v>0</v>
      </c>
      <c r="GS1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3" s="90" t="str">
        <f aca="false">IF(Tasks[[#This Row],[_IsLeaf]]=1,Tasks[[#This Row],[_Row]],"")</f>
        <v/>
      </c>
      <c r="GW153" s="90" t="str">
        <f aca="false">IFERROR(INDEX(Tasks[UID],SMALL(Tasks[_PickKey],Tasks[[#This Row],[_Row]]))&amp;" "&amp;INDEX(Tasks[Task Name],SMALL(Tasks[_PickKey],Tasks[[#This Row],[_Row]])),"")</f>
        <v/>
      </c>
      <c r="GX153" s="42" t="str">
        <f aca="false">IF(Tasks[[#This Row],[Task Name]]="","",IF(Tasks[[#This Row],[_IsSummary]],NETWORKDAYS.INTL(Tasks[[#This Row],[Start]],Tasks[[#This Row],[Finish]],WorkWeek,Holidays),N(Tasks[[#This Row],[_Days]])))</f>
        <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3"/>
      <c r="U154" s="23"/>
      <c r="V154" s="83"/>
      <c r="W154" s="23"/>
      <c r="X154" s="83"/>
      <c r="Y154" s="23"/>
      <c r="Z154" s="83"/>
      <c r="AA154" s="23"/>
      <c r="AB154" s="23"/>
      <c r="AC154" s="7"/>
      <c r="AD154" s="7"/>
      <c r="AE154" s="62" t="str">
        <f aca="false">IF(Tasks[[#This Row],[Task Name]]="","",IF(Tasks[[#This Row],[_IsSummary]],MIN(INDEX(Tasks[_ShownFcstStart],Tasks[[#This Row],[_Row]]+1):INDEX(Tasks[_ShownFcstStart],Tasks[[#This Row],[_Row]]+Tasks[[#This Row],[_Descendants]])),Tasks[[#This Row],[_ShownFcstStart]]))</f>
        <v/>
      </c>
      <c r="AF154" s="62"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4" s="7"/>
      <c r="AK154" s="22"/>
      <c r="AL154" s="23"/>
      <c r="AM154" s="7"/>
      <c r="AN154" s="46"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2" t="str">
        <f aca="false">IF(Tasks[[#This Row],[Task Name]]="","",IF(N(Tasks[[#This Row],[Baseline Start]])&gt;0,Tasks[[#This Row],[Baseline Start]],Tasks[[#This Row],[_CalcStart]]))</f>
        <v/>
      </c>
      <c r="AR154" s="62" t="str">
        <f aca="false">IF(Tasks[[#This Row],[Task Name]]="","",IF(N(Tasks[[#This Row],[Baseline Finish]])&gt;0,Tasks[[#This Row],[Baseline Finish]],Tasks[[#This Row],[_CalcFinish]]))</f>
        <v/>
      </c>
      <c r="AS154" s="46" t="str">
        <f aca="false">IF(Tasks[[#This Row],[Task Name]]="","",IF(Tasks[[#This Row],[Start]]&gt;=Tasks[[#This Row],[Planned Start]],NETWORKDAYS.INTL(Tasks[[#This Row],[Planned Start]],Tasks[[#This Row],[Start]],WorkWeek,Holidays)-1,1-NETWORKDAYS.INTL(Tasks[[#This Row],[Start]],Tasks[[#This Row],[Planned Start]],WorkWeek,Holidays)))</f>
        <v/>
      </c>
      <c r="AT154" s="62" t="str">
        <f aca="false">IF(Tasks[[#This Row],[Task Name]]="","",IF(Tasks[[#This Row],[_IsSummary]],MIN(INDEX(Tasks[_LeafLateStart],Tasks[[#This Row],[_Row]]+1):INDEX(Tasks[_LeafLateStart],Tasks[[#This Row],[_Row]]+Tasks[[#This Row],[_Descendants]])),Tasks[[#This Row],[_LeafLateStart]]))</f>
        <v/>
      </c>
      <c r="AU154" s="62" t="str">
        <f aca="false">IF(Tasks[[#This Row],[Task Name]]="","",IF(Tasks[[#This Row],[_IsSummary]],MAX(INDEX(Tasks[_LeafLateFinish],Tasks[[#This Row],[_Row]]+1):INDEX(Tasks[_LeafLateFinish],Tasks[[#This Row],[_Row]]+Tasks[[#This Row],[_Descendants]])),Tasks[[#This Row],[_LeafLateFinish]]))</f>
        <v/>
      </c>
      <c r="AV154" s="46"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4"/>
      <c r="BA1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5"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6"/>
      <c r="BJ154" s="22"/>
      <c r="BK154" s="46" t="str">
        <f aca="false">IF(OR(Tasks[[#This Row],[Task Name]]="",Tasks[[#This Row],[Baseline Duration]]=""),"",Tasks[[#This Row],[_SpanDays]]-N(Tasks[[#This Row],[Baseline Duration]]))</f>
        <v/>
      </c>
      <c r="BL154" s="85" t="str">
        <f aca="false">IF(OR(Tasks[[#This Row],[Task Name]]="",Tasks[[#This Row],[Baseline Work]]=""),"",Tasks[[#This Row],[Work]]-N(Tasks[[#This Row],[Baseline Work]]))</f>
        <v/>
      </c>
      <c r="BM154" s="62" t="str">
        <f aca="false">IF(Tasks[[#This Row],[Task Name]]="","",IF(OR(TakeBaseline="Yes",N(Tasks[[#This Row],[Baseline Start]])=0),Tasks[[#This Row],[Start]],Tasks[[#This Row],[Baseline Start]]))</f>
        <v/>
      </c>
      <c r="BN154" s="62"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5" t="str">
        <f aca="false">IF(Tasks[[#This Row],[Task Name]]="","",IF(OR(TakeBaseline="Yes",N(Tasks[[#This Row],[Baseline Work]])=0),Tasks[[#This Row],[Work]],Tasks[[#This Row],[Baseline Work]]))</f>
        <v/>
      </c>
      <c r="BQ154" s="7"/>
      <c r="BR154" s="7"/>
      <c r="BS154" s="22"/>
      <c r="BT154" s="87"/>
      <c r="BU154" s="42" t="str">
        <f aca="false">IF(Tasks[[#This Row],[Task Name]]="","",MAX(1,N(Tasks[[#This Row],[Level]])))</f>
        <v/>
      </c>
      <c r="BV154" s="42" t="n">
        <f aca="false">ROW()-ROW(Tasks[[#Headers],[ID]])</f>
        <v>149</v>
      </c>
      <c r="BW154" s="42" t="n">
        <f aca="false">IF(OR(Tasks[[#This Row],[Task Name]]="",Tasks[[#This Row],[_Level]]&lt;=1),0,IFERROR(LOOKUP(2,1/(Tasks[[#Headers],[_Level]]:Tasks[[#This Row],[_Level]]=Tasks[[#This Row],[_Level]]-1),ROW(Tasks[[#Headers],[_Level]]:Tasks[[#This Row],[_Level]])),0))</f>
        <v>0</v>
      </c>
      <c r="BX154" s="42" t="n">
        <f aca="false">IFERROR(N(INDEX(Tasks[_Level],Tasks[[#This Row],[_Row]]+1)),0)</f>
        <v>0</v>
      </c>
      <c r="BY154" s="88" t="b">
        <f aca="false">AND(Tasks[[#This Row],[Task Name]]&lt;&gt;"",Tasks[[#This Row],[_NextLevel]]&gt;Tasks[[#This Row],[_Level]])</f>
        <v>0</v>
      </c>
      <c r="BZ154" s="42" t="n">
        <f aca="false">IF(Tasks[[#This Row],[_IsSummary]],COUNTIF(Tasks[WBS],Tasks[[#This Row],[WBS]]&amp;".*"),0)</f>
        <v>0</v>
      </c>
      <c r="CA154" s="42" t="n">
        <f aca="false">IF(AND(Tasks[[#This Row],[Task Name]]&lt;&gt;"",NOT(Tasks[[#This Row],[_IsSummary]])),1,0)</f>
        <v>0</v>
      </c>
      <c r="CB154" s="42" t="n">
        <f aca="false">IF(N(Tasks[[#This Row],[_Pred1UID]])=0,0,IFERROR(MATCH(Tasks[[#This Row],[_Pred1UID]],Tasks[UID],0),-1))</f>
        <v>0</v>
      </c>
      <c r="CC154" s="42" t="n">
        <f aca="false">IF(N(Tasks[[#This Row],[_Pred2UID]])=0,0,IFERROR(MATCH(Tasks[[#This Row],[_Pred2UID]],Tasks[UID],0),-1))</f>
        <v>0</v>
      </c>
      <c r="CD154" s="42" t="n">
        <f aca="false">IF(N(Tasks[[#This Row],[_Pred3UID]])=0,0,IFERROR(MATCH(Tasks[[#This Row],[_Pred3UID]],Tasks[UID],0),-1))</f>
        <v>0</v>
      </c>
      <c r="CE154" s="42" t="n">
        <f aca="false">IF(N(Tasks[[#This Row],[_Pred4UID]])=0,0,IFERROR(MATCH(Tasks[[#This Row],[_Pred4UID]],Tasks[UID],0),-1))</f>
        <v>0</v>
      </c>
      <c r="CF1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4" s="89" t="n">
        <f aca="false">IF(OR(Tasks[[#This Row],[_ConstraintCode]]=2,Tasks[[#This Row],[_ConstraintCode]]=3,Tasks[[#This Row],[_ConstraintCode]]=4,Tasks[[#This Row],[_ConstraintCode]]=6),Tasks[[#This Row],[_ConstraintStart]],0)</f>
        <v>0</v>
      </c>
      <c r="CI154" s="89" t="n">
        <f aca="false">IF(OR(Tasks[[#This Row],[_ConstraintCode]]=2,Tasks[[#This Row],[_ConstraintCode]]=3,Tasks[[#This Row],[_ConstraintCode]]=5,Tasks[[#This Row],[_ConstraintCode]]=7),Tasks[[#This Row],[_ConstraintStart]],2958465)</f>
        <v>2958465</v>
      </c>
      <c r="CJ1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4" s="89" t="str">
        <f aca="false">IF(NOT(Tasks[[#This Row],[_IsLeaf]]=1),"",IF(N(Tasks[[#This Row],[_Days]])&lt;=0,Tasks[[#This Row],[_LeafCalcStart]],WORKDAY.INTL(Tasks[[#This Row],[_LeafCalcStart]],Tasks[[#This Row],[_Days]]-1,WorkWeek,Holidays)))</f>
        <v/>
      </c>
      <c r="CL1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4" s="42" t="str">
        <f aca="false">IF(Tasks[[#This Row],[_Predecessors]]="","",TRIM(MID(SUBSTITUTE(SUBSTITUTE(SUBSTITUTE(UPPER(Tasks[[#This Row],[_Predecessors]]),";",",")," ",""),",",REPT(" ",99)),1,99)))</f>
        <v/>
      </c>
      <c r="CO154" s="42" t="str">
        <f aca="false">IF(Tasks[[#This Row],[_Pred1Text]]="","",IFERROR(VALUE(LEFT(Tasks[[#This Row],[_Pred1Text]],MIN(FIND("F",Tasks[[#This Row],[_Pred1Text]]&amp;"F"),FIND("S",Tasks[[#This Row],[_Pred1Text]]&amp;"S"),FIND("+",Tasks[[#This Row],[_Pred1Text]]&amp;"+"),FIND("-",Tasks[[#This Row],[_Pred1Text]]&amp;"-"))-1)),""))</f>
        <v/>
      </c>
      <c r="CP1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4" s="42" t="str">
        <f aca="false">IF(Tasks[[#This Row],[_Pred1Text]]="","",TRIM(MID(SUBSTITUTE(SUBSTITUTE(SUBSTITUTE(UPPER(Tasks[[#This Row],[_Predecessors]]),";",",")," ",""),",",REPT(" ",99)),100,99)))</f>
        <v/>
      </c>
      <c r="CS154" s="42" t="str">
        <f aca="false">IF(Tasks[[#This Row],[_Pred2Text]]="","",IFERROR(VALUE(LEFT(Tasks[[#This Row],[_Pred2Text]],MIN(FIND("F",Tasks[[#This Row],[_Pred2Text]]&amp;"F"),FIND("S",Tasks[[#This Row],[_Pred2Text]]&amp;"S"),FIND("+",Tasks[[#This Row],[_Pred2Text]]&amp;"+"),FIND("-",Tasks[[#This Row],[_Pred2Text]]&amp;"-"))-1)),""))</f>
        <v/>
      </c>
      <c r="CT1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4" s="42" t="str">
        <f aca="false">IF(Tasks[[#This Row],[_Pred2Text]]="","",TRIM(MID(SUBSTITUTE(SUBSTITUTE(SUBSTITUTE(UPPER(Tasks[[#This Row],[_Predecessors]]),";",",")," ",""),",",REPT(" ",99)),199,99)))</f>
        <v/>
      </c>
      <c r="CW154" s="42" t="str">
        <f aca="false">IF(Tasks[[#This Row],[_Pred3Text]]="","",IFERROR(VALUE(LEFT(Tasks[[#This Row],[_Pred3Text]],MIN(FIND("F",Tasks[[#This Row],[_Pred3Text]]&amp;"F"),FIND("S",Tasks[[#This Row],[_Pred3Text]]&amp;"S"),FIND("+",Tasks[[#This Row],[_Pred3Text]]&amp;"+"),FIND("-",Tasks[[#This Row],[_Pred3Text]]&amp;"-"))-1)),""))</f>
        <v/>
      </c>
      <c r="CX1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4" s="42" t="str">
        <f aca="false">IF(Tasks[[#This Row],[_Pred3Text]]="","",TRIM(MID(SUBSTITUTE(SUBSTITUTE(SUBSTITUTE(UPPER(Tasks[[#This Row],[_Predecessors]]),";",",")," ",""),",",REPT(" ",99)),298,99)))</f>
        <v/>
      </c>
      <c r="DA154" s="42" t="str">
        <f aca="false">IF(Tasks[[#This Row],[_Pred4Text]]="","",IFERROR(VALUE(LEFT(Tasks[[#This Row],[_Pred4Text]],MIN(FIND("F",Tasks[[#This Row],[_Pred4Text]]&amp;"F"),FIND("S",Tasks[[#This Row],[_Pred4Text]]&amp;"S"),FIND("+",Tasks[[#This Row],[_Pred4Text]]&amp;"+"),FIND("-",Tasks[[#This Row],[_Pred4Text]]&amp;"-"))-1)),""))</f>
        <v/>
      </c>
      <c r="DB1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4" s="42" t="str">
        <f aca="false">IF(OR(Tasks[[#This Row],[Task Name]]="",Tasks[[#This Row],[_Resources]]=""),"",TRIM(MID(SUBSTITUTE(Tasks[[#This Row],[_Resources]],",",REPT(" ",99)),1,99)))</f>
        <v/>
      </c>
      <c r="DE154" s="42" t="str">
        <f aca="false">IF(Tasks[[#This Row],[_Res1Text]]="","",TRIM(MID(SUBSTITUTE(Tasks[[#This Row],[_Resources]],",",REPT(" ",99)),100,99)))</f>
        <v/>
      </c>
      <c r="DF154" s="42" t="str">
        <f aca="false">IF(Tasks[[#This Row],[_Res2Text]]="","",TRIM(MID(SUBSTITUTE(Tasks[[#This Row],[_Resources]],",",REPT(" ",99)),199,99)))</f>
        <v/>
      </c>
      <c r="DG154" s="42" t="str">
        <f aca="false">IF(Tasks[[#This Row],[_Res3Text]]="","",TRIM(MID(SUBSTITUTE(Tasks[[#This Row],[_Resources]],",",REPT(" ",99)),298,99)))</f>
        <v/>
      </c>
      <c r="DH154" s="42" t="n">
        <f aca="false">IF(Tasks[[#This Row],[_Res1Text]]="",0,IFERROR(MATCH(TRIM(LEFT(Tasks[[#This Row],[_Res1Text]],FIND("[",Tasks[[#This Row],[_Res1Text]]&amp;"[")-1)),res_Name,0),IFERROR(MATCH(TRIM(LEFT(Tasks[[#This Row],[_Res1Text]],FIND("[",Tasks[[#This Row],[_Res1Text]]&amp;"[")-1)),res_Initials,0),0)))</f>
        <v>0</v>
      </c>
      <c r="DI154" s="42" t="n">
        <f aca="false">IF(Tasks[[#This Row],[_Res2Text]]="",0,IFERROR(MATCH(TRIM(LEFT(Tasks[[#This Row],[_Res2Text]],FIND("[",Tasks[[#This Row],[_Res2Text]]&amp;"[")-1)),res_Name,0),IFERROR(MATCH(TRIM(LEFT(Tasks[[#This Row],[_Res2Text]],FIND("[",Tasks[[#This Row],[_Res2Text]]&amp;"[")-1)),res_Initials,0),0)))</f>
        <v>0</v>
      </c>
      <c r="DJ154" s="42" t="n">
        <f aca="false">IF(Tasks[[#This Row],[_Res3Text]]="",0,IFERROR(MATCH(TRIM(LEFT(Tasks[[#This Row],[_Res3Text]],FIND("[",Tasks[[#This Row],[_Res3Text]]&amp;"[")-1)),res_Name,0),IFERROR(MATCH(TRIM(LEFT(Tasks[[#This Row],[_Res3Text]],FIND("[",Tasks[[#This Row],[_Res3Text]]&amp;"[")-1)),res_Initials,0),0)))</f>
        <v>0</v>
      </c>
      <c r="DK154" s="42" t="n">
        <f aca="false">IF(Tasks[[#This Row],[_Res4Text]]="",0,IFERROR(MATCH(TRIM(LEFT(Tasks[[#This Row],[_Res4Text]],FIND("[",Tasks[[#This Row],[_Res4Text]]&amp;"[")-1)),res_Name,0),IFERROR(MATCH(TRIM(LEFT(Tasks[[#This Row],[_Res4Text]],FIND("[",Tasks[[#This Row],[_Res4Text]]&amp;"[")-1)),res_Initials,0),0)))</f>
        <v>0</v>
      </c>
      <c r="DL154" s="42" t="str">
        <f aca="false">IF(Tasks[[#This Row],[_Res1Text]]="","",IF(Tasks[[#This Row],[_Res1Row]]&gt;0,INDEX(res_Name,Tasks[[#This Row],[_Res1Row]]),TRIM(LEFT(Tasks[[#This Row],[_Res1Text]],FIND("[",Tasks[[#This Row],[_Res1Text]]&amp;"[")-1))))</f>
        <v/>
      </c>
      <c r="DM1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4" s="42" t="n">
        <f aca="false">IF(NOT(Tasks[[#This Row],[_IsLeaf]]=1),0,(Tasks[[#This Row],[_Resource1]]&lt;&gt;"")+(Tasks[[#This Row],[_Res2]]&lt;&gt;"")+(Tasks[[#This Row],[_Res3]]&lt;&gt;"")+(Tasks[[#This Row],[_Res4]]&lt;&gt;""))</f>
        <v>0</v>
      </c>
      <c r="DO154" s="42" t="str">
        <f aca="false">IF(Tasks[[#This Row],[_Res2Text]]="","",IF(Tasks[[#This Row],[_Res2Row]]&gt;0,INDEX(res_Name,Tasks[[#This Row],[_Res2Row]]),TRIM(LEFT(Tasks[[#This Row],[_Res2Text]],FIND("[",Tasks[[#This Row],[_Res2Text]]&amp;"[")-1))))</f>
        <v/>
      </c>
      <c r="DP1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4" s="42" t="n">
        <f aca="false">IF(OR(NOT(Tasks[[#This Row],[_IsLeaf]]=1),Tasks[[#This Row],[_Res2Row]]=0),0,N(Tasks[[#This Row],[_Days]])*HoursPerDay*IF(Tasks[[#This Row],[_Res2Units]]="",DefaultUnits,Tasks[[#This Row],[_Res2Units]]))</f>
        <v>0</v>
      </c>
      <c r="DR154" s="42" t="n">
        <f aca="false">IF(AND(AND(Tasks[[#This Row],[_IsLeaf]]=1,Tasks[[#This Row],[_LeafTotalWork]]&gt;0),Tasks[[#This Row],[_Res2Work]]&gt;0),Tasks[[#This Row],[_Res2Work]]/(Tasks[[#This Row],[_FinishWorkday]]-Tasks[[#This Row],[_StartWorkday]]+1),0)</f>
        <v>0</v>
      </c>
      <c r="DS154" s="42" t="n">
        <f aca="false">Tasks[[#This Row],[_Res2WorkPerWD]]*MAX(0,Tasks[[#This Row],[_StartWorkday]]-1)</f>
        <v>0</v>
      </c>
      <c r="DT154" s="42" t="n">
        <f aca="false">Tasks[[#This Row],[_Res2Work]]*Tasks[[#This Row],[_LeafProgress]]</f>
        <v>0</v>
      </c>
      <c r="DU154" s="42" t="str">
        <f aca="false">IF(Tasks[[#This Row],[_Res3Text]]="","",IF(Tasks[[#This Row],[_Res3Row]]&gt;0,INDEX(res_Name,Tasks[[#This Row],[_Res3Row]]),TRIM(LEFT(Tasks[[#This Row],[_Res3Text]],FIND("[",Tasks[[#This Row],[_Res3Text]]&amp;"[")-1))))</f>
        <v/>
      </c>
      <c r="DV1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4" s="42" t="n">
        <f aca="false">IF(OR(NOT(Tasks[[#This Row],[_IsLeaf]]=1),Tasks[[#This Row],[_Res3Row]]=0),0,N(Tasks[[#This Row],[_Days]])*HoursPerDay*IF(Tasks[[#This Row],[_Res3Units]]="",DefaultUnits,Tasks[[#This Row],[_Res3Units]]))</f>
        <v>0</v>
      </c>
      <c r="DX154" s="42" t="n">
        <f aca="false">IF(AND(AND(Tasks[[#This Row],[_IsLeaf]]=1,Tasks[[#This Row],[_LeafTotalWork]]&gt;0),Tasks[[#This Row],[_Res3Work]]&gt;0),Tasks[[#This Row],[_Res3Work]]/(Tasks[[#This Row],[_FinishWorkday]]-Tasks[[#This Row],[_StartWorkday]]+1),0)</f>
        <v>0</v>
      </c>
      <c r="DY154" s="42" t="n">
        <f aca="false">Tasks[[#This Row],[_Res3WorkPerWD]]*MAX(0,Tasks[[#This Row],[_StartWorkday]]-1)</f>
        <v>0</v>
      </c>
      <c r="DZ154" s="42" t="n">
        <f aca="false">Tasks[[#This Row],[_Res3Work]]*Tasks[[#This Row],[_LeafProgress]]</f>
        <v>0</v>
      </c>
      <c r="EA154" s="42" t="str">
        <f aca="false">IF(Tasks[[#This Row],[_Res4Text]]="","",IF(Tasks[[#This Row],[_Res4Row]]&gt;0,INDEX(res_Name,Tasks[[#This Row],[_Res4Row]]),TRIM(LEFT(Tasks[[#This Row],[_Res4Text]],FIND("[",Tasks[[#This Row],[_Res4Text]]&amp;"[")-1))))</f>
        <v/>
      </c>
      <c r="EB1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4" s="42" t="n">
        <f aca="false">IF(OR(NOT(Tasks[[#This Row],[_IsLeaf]]=1),Tasks[[#This Row],[_Res4Row]]=0),0,N(Tasks[[#This Row],[_Days]])*HoursPerDay*IF(Tasks[[#This Row],[_Res4Units]]="",DefaultUnits,Tasks[[#This Row],[_Res4Units]]))</f>
        <v>0</v>
      </c>
      <c r="ED154" s="42" t="n">
        <f aca="false">IF(AND(AND(Tasks[[#This Row],[_IsLeaf]]=1,Tasks[[#This Row],[_LeafTotalWork]]&gt;0),Tasks[[#This Row],[_Res4Work]]&gt;0),Tasks[[#This Row],[_Res4Work]]/(Tasks[[#This Row],[_FinishWorkday]]-Tasks[[#This Row],[_StartWorkday]]+1),0)</f>
        <v>0</v>
      </c>
      <c r="EE154" s="42" t="n">
        <f aca="false">Tasks[[#This Row],[_Res4WorkPerWD]]*MAX(0,Tasks[[#This Row],[_StartWorkday]]-1)</f>
        <v>0</v>
      </c>
      <c r="EF154" s="42" t="n">
        <f aca="false">Tasks[[#This Row],[_Res4Work]]*Tasks[[#This Row],[_LeafProgress]]</f>
        <v>0</v>
      </c>
      <c r="EG154" s="42" t="n">
        <f aca="false">IF(ISNUMBER(Tasks[[#This Row],[% Complete]]),Tasks[[#This Row],[% Complete]],IF(Tasks[[#This Row],[Stage]]="",0,IFERROR(INDEX(stg_Pct,MATCH(Tasks[[#This Row],[Stage]],stg_Name,0)),0)))</f>
        <v>0</v>
      </c>
      <c r="EH154" s="42" t="n">
        <f aca="false">IF(NOT(Tasks[[#This Row],[_IsLeaf]]=1),0,IF(N(Tasks[[#This Row],[Actual Finish]])&gt;0,1,MIN(1,Tasks[[#This Row],[_Pct]])))</f>
        <v>0</v>
      </c>
      <c r="EI154" s="42" t="n">
        <f aca="false">IF(OR(NOT(Tasks[[#This Row],[_IsLeaf]]=1),Tasks[[#This Row],[_Res1Row]]=0),0,N(Tasks[[#This Row],[_Days]])*HoursPerDay*IF(Tasks[[#This Row],[_Units1]]="",DefaultUnits,Tasks[[#This Row],[_Units1]]))</f>
        <v>0</v>
      </c>
      <c r="EJ154" s="42" t="n">
        <f aca="false">Tasks[[#This Row],[_LeafWork]]+Tasks[[#This Row],[_Res2Work]]+Tasks[[#This Row],[_Res3Work]]+Tasks[[#This Row],[_Res4Work]]</f>
        <v>0</v>
      </c>
      <c r="EK1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4" s="42" t="n">
        <f aca="false">IF(NOT(Tasks[[#This Row],[_IsLeaf]]=1),0,MAX(_xlfn.MAXIFS(Tasks[_Row],Tasks[_Pred1UID],Tasks[[#This Row],[UID]]),_xlfn.MAXIFS(Tasks[_Row],Tasks[_Pred2UID],Tasks[[#This Row],[UID]]),_xlfn.MAXIFS(Tasks[_Row],Tasks[_Pred3UID],Tasks[[#This Row],[UID]]),_xlfn.MAXIFS(Tasks[_Row],Tasks[_Pred4UID],Tasks[[#This Row],[UID]])))</f>
        <v>0</v>
      </c>
      <c r="ET1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4" s="89" t="str">
        <f aca="false">IF(NOT(Tasks[[#This Row],[_IsLeaf]]=1),"",IF(N(Tasks[[#This Row],[_Days]])&lt;=0,Tasks[[#This Row],[_LeafLateFinish]],WORKDAY.INTL(Tasks[[#This Row],[_LeafLateFinish]],-(Tasks[[#This Row],[_Days]]-1),WorkWeek,Holidays)))</f>
        <v/>
      </c>
      <c r="EW1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4" s="88" t="b">
        <f aca="false">AND(Tasks[[#This Row],[_IsLeaf]]=1,Tasks[[#This Row],[_LeafProgress]]&lt;1,N(Tasks[[#This Row],[_LeafTotalSlack]])&lt;=CriticalSlackDays)</f>
        <v>0</v>
      </c>
      <c r="EY154" s="42" t="n">
        <f aca="false">IF(AND(Tasks[[#This Row],[_IsLeaf]]=1,Tasks[[#This Row],[_ConstraintCode]]=1,Tasks[[#This Row],[Mode]]&lt;&gt;"Manual",N(Tasks[[#This Row],[Actual Start]])=0),MAX(0,N(Tasks[[#This Row],[Free Slack]])),0)</f>
        <v>0</v>
      </c>
      <c r="EZ154" s="89" t="str">
        <f aca="false">IF(NOT(Tasks[[#This Row],[_IsLeaf]]=1),"",IF(Tasks[[#This Row],[_AlapShift]]=0,Tasks[[#This Row],[_LeafCalcStart]],WORKDAY.INTL(Tasks[[#This Row],[_LeafCalcStart]],Tasks[[#This Row],[_AlapShift]],WorkWeek,Holidays)))</f>
        <v/>
      </c>
      <c r="FA154" s="89" t="str">
        <f aca="false">IF(NOT(Tasks[[#This Row],[_IsLeaf]]=1),"",IF(Tasks[[#This Row],[_AlapShift]]=0,Tasks[[#This Row],[_LeafCalcFinish]],WORKDAY.INTL(Tasks[[#This Row],[_LeafCalcFinish]],Tasks[[#This Row],[_AlapShift]],WorkWeek,Holidays)))</f>
        <v/>
      </c>
      <c r="FB154" s="89" t="str">
        <f aca="false">IF(NOT(Tasks[[#This Row],[_IsLeaf]]=1),"",IF(Tasks[[#This Row],[_AlapShift]]=0,Tasks[[#This Row],[_LeafFcstStart]],WORKDAY.INTL(Tasks[[#This Row],[_LeafFcstStart]],Tasks[[#This Row],[_AlapShift]],WorkWeek,Holidays)))</f>
        <v/>
      </c>
      <c r="FC154" s="89" t="str">
        <f aca="false">IF(NOT(Tasks[[#This Row],[_IsLeaf]]=1),"",IF(Tasks[[#This Row],[_AlapShift]]=0,Tasks[[#This Row],[_LeafFcstFinish]],WORKDAY.INTL(Tasks[[#This Row],[_LeafFcstFinish]],Tasks[[#This Row],[_AlapShift]],WorkWeek,Holidays)))</f>
        <v/>
      </c>
      <c r="FD154" s="89" t="str">
        <f aca="false">IF(Tasks[[#This Row],[Task Name]]="","",IF(Tasks[[#This Row],[_IsSummary]],MIN(INDEX(Tasks[_ShownCalcStart],Tasks[[#This Row],[_Row]]+1):INDEX(Tasks[_ShownCalcStart],Tasks[[#This Row],[_Row]]+Tasks[[#This Row],[_Descendants]])),Tasks[[#This Row],[_ShownCalcStart]]))</f>
        <v/>
      </c>
      <c r="FE154" s="89" t="str">
        <f aca="false">IF(Tasks[[#This Row],[Task Name]]="","",IF(Tasks[[#This Row],[_IsSummary]],MAX(INDEX(Tasks[_ShownCalcFinish],Tasks[[#This Row],[_Row]]+1):INDEX(Tasks[_ShownCalcFinish],Tasks[[#This Row],[_Row]]+Tasks[[#This Row],[_Descendants]])),Tasks[[#This Row],[_ShownCalcFinish]]))</f>
        <v/>
      </c>
      <c r="FF1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4" s="42" t="n">
        <f aca="false">IF(AND(Tasks[[#This Row],[_IsLeaf]]=1,Tasks[[#This Row],[_LeafTotalWork]]&gt;0),NETWORKDAYS.INTL(ProjectStart,Tasks[[#This Row],[_ShownFcstStart]],WorkWeek,Holidays),0)</f>
        <v>0</v>
      </c>
      <c r="FS154" s="42" t="n">
        <f aca="false">IF(AND(Tasks[[#This Row],[_IsLeaf]]=1,Tasks[[#This Row],[_LeafTotalWork]]&gt;0),MAX(Tasks[[#This Row],[_StartWorkday]],NETWORKDAYS.INTL(ProjectStart,Tasks[[#This Row],[_ShownFcstFinish]],WorkWeek,Holidays)),0)</f>
        <v>0</v>
      </c>
      <c r="FT154" s="42" t="n">
        <f aca="false">IF(AND(Tasks[[#This Row],[_IsLeaf]]=1,Tasks[[#This Row],[_LeafTotalWork]]&gt;0),Tasks[[#This Row],[_LeafWork]]/(Tasks[[#This Row],[_FinishWorkday]]-Tasks[[#This Row],[_StartWorkday]]+1),0)</f>
        <v>0</v>
      </c>
      <c r="FU154" s="42" t="n">
        <f aca="false">Tasks[[#This Row],[_WorkPerWorkday]]*(Tasks[[#This Row],[_StartWorkday]]-1)</f>
        <v>-0</v>
      </c>
      <c r="FV154" s="42" t="n">
        <f aca="false">IF(Tasks[[#This Row],[_IsLeaf]]=1,MAX(N(Tasks[[#This Row],[_Days]]),0.1),0)</f>
        <v>0</v>
      </c>
      <c r="FW154" s="42" t="n">
        <f aca="false">Tasks[[#This Row],[_WeightDur]]*Tasks[[#This Row],[_LeafProgress]]</f>
        <v>0</v>
      </c>
      <c r="FX154" s="42" t="n">
        <f aca="false">Tasks[[#This Row],[_WeightDur]]*Tasks[[#This Row],[_PlannedPct]]</f>
        <v>0</v>
      </c>
      <c r="FY1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4" s="42" t="str">
        <f aca="false">IF(AND(Tasks[[#This Row],[_IsLeaf]]=1,N(Tasks[[#This Row],[_Days]])=0,Tasks[[#This Row],[_LeafProgress]]&lt;1),Tasks[[#This Row],[_ShownFcstFinish]]+Tasks[[#This Row],[_Row]]/100000,"")</f>
        <v/>
      </c>
      <c r="GA1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4" s="42" t="str">
        <f aca="false">IF(Tasks[[#This Row],[Task Name]]="","",LEFT(Tasks[[#This Row],[WBS]],FIND(".",Tasks[[#This Row],[WBS]]&amp;".")-1))</f>
        <v/>
      </c>
      <c r="GC154" s="42" t="str">
        <f aca="false">IF(AND(Tasks[[#This Row],[Task Name]]&lt;&gt;"",Tasks[[#This Row],[_Level]]=1),Tasks[[#This Row],[_Row]],"")</f>
        <v/>
      </c>
      <c r="GD154" s="42" t="str">
        <f aca="false">IF(AND(Tasks[[#This Row],[_IsLeaf]]=1,N(Tasks[[#This Row],[_Days]])=0),Tasks[[#This Row],[Planned Finish]]+Tasks[[#This Row],[_Row]]/100000,"")</f>
        <v/>
      </c>
      <c r="GE154" s="42" t="str">
        <f aca="false">IF(AND(Tasks[[#This Row],[_IsLeaf]]=1,Tasks[[#This Row],[_LeafProgress]]&lt;1,OR(N(Tasks[[#This Row],[Finish Var]])&gt;0,Tasks[[#This Row],[Status]]="Late Start")),MAX(0,Tasks[[#This Row],[Finish Var]])+1-Tasks[[#This Row],[_Row]]/1000000,"")</f>
        <v/>
      </c>
      <c r="GF154" s="42" t="str">
        <f aca="false">IF(AND(Tasks[[#This Row],[_IsLeaf]]=1,N(Tasks[[#This Row],[Actual Start]])=0,Tasks[[#This Row],[_ShownFcstStart]]&gt;=StatusDate,Tasks[[#This Row],[_ShownFcstStart]]&lt;=LookaheadEnd),Tasks[[#This Row],[_ShownFcstStart]]+Tasks[[#This Row],[_Row]]/100000,"")</f>
        <v/>
      </c>
      <c r="GG154" s="42" t="str">
        <f aca="false">IF(AND(Tasks[[#This Row],[_IsLeaf]]=1,Tasks[[#This Row],[_LeafProgress]]&lt;1,Tasks[[#This Row],[_ShownFcstFinish]]&gt;=StatusDate,Tasks[[#This Row],[_ShownFcstFinish]]&lt;=LookaheadEnd),Tasks[[#This Row],[_ShownFcstFinish]]+Tasks[[#This Row],[_Row]]/100000,"")</f>
        <v/>
      </c>
      <c r="GH154" s="42" t="str">
        <f aca="false">IF(Tasks[[#This Row],[_LeafCritical]],Tasks[[#This Row],[_ShownFcstStart]]+Tasks[[#This Row],[_Row]]/100000,"")</f>
        <v/>
      </c>
      <c r="GI154" s="42" t="n">
        <f aca="false">Tasks[[#This Row],[_LeafWork]]*Tasks[[#This Row],[_LeafProgress]]</f>
        <v>0</v>
      </c>
      <c r="GJ154" s="89" t="str">
        <f aca="false">IF(AND(Tasks[[#This Row],[_IsLeaf]]=1,Tasks[[#This Row],[_LeafProgress]]&gt;=1),IF(N(Tasks[[#This Row],[Actual Finish]])&gt;0,Tasks[[#This Row],[Actual Finish]],Tasks[[#This Row],[_ShownFcstFinish]]),"")</f>
        <v/>
      </c>
      <c r="GK154" s="42" t="n">
        <f aca="false">IF(Tasks[[#This Row],[_IsLeaf]]=1,N(Tasks[[#This Row],[Story Points]]),0)</f>
        <v>0</v>
      </c>
      <c r="GL154" s="42" t="str">
        <f aca="false">""</f>
        <v/>
      </c>
      <c r="GM154" s="88" t="b">
        <f aca="false">IF(Tasks[[#This Row],[Task Name]]="",FALSE(),AND(Tasks[[#This Row],[_IsLeaf]]=1,N(Tasks[[#This Row],[_Days]])=0))</f>
        <v>0</v>
      </c>
      <c r="GN154" s="89" t="n">
        <f aca="false">IF(Tasks[[#This Row],[Task Name]]="",0,IF(AND(Tasks[[#This Row],[_IsLeaf]]=1,NOT(Tasks[[#This Row],[_IsMilestone]]),N(Tasks[[#This Row],[Progress]])&gt;0),Tasks[[#This Row],[Start]],0))</f>
        <v>0</v>
      </c>
      <c r="GO154" s="89" t="n">
        <f aca="false">IF(Tasks[[#This Row],[_DoneFrom]]=0,0,IF(Tasks[[#This Row],[Progress]]&gt;=1,Tasks[[#This Row],[Finish]],MAX(Tasks[[#This Row],[_DoneFrom]],Tasks[[#This Row],[Start]]+ROUND((Tasks[[#This Row],[Finish]]-Tasks[[#This Row],[Start]]+1)*Tasks[[#This Row],[Progress]],0)-1)))</f>
        <v>0</v>
      </c>
      <c r="GP154" s="89" t="n">
        <f aca="false">IF(Tasks[[#This Row],[Task Name]]="",0,IF(OR(NOT(Tasks[[#This Row],[_IsLeaf]]=1),Tasks[[#This Row],[_IsMilestone]],N(Tasks[[#This Row],[Progress]])&gt;=1),0,IF(Tasks[[#This Row],[_DoneTo]]&gt;0,Tasks[[#This Row],[_DoneTo]]+1,Tasks[[#This Row],[Start]])))</f>
        <v>0</v>
      </c>
      <c r="GQ154" s="89" t="n">
        <f aca="false">IF(Tasks[[#This Row],[_RemFrom]]=0,0,Tasks[[#This Row],[Finish]])</f>
        <v>0</v>
      </c>
      <c r="GR154" s="88" t="b">
        <f aca="false">IF(Tasks[[#This Row],[Task Name]]="",FALSE(),OR(NOT(BaselineSet),N(Tasks[[#This Row],[Baseline Start]])&gt;0))</f>
        <v>0</v>
      </c>
      <c r="GS1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4" s="90" t="str">
        <f aca="false">IF(Tasks[[#This Row],[_IsLeaf]]=1,Tasks[[#This Row],[_Row]],"")</f>
        <v/>
      </c>
      <c r="GW154" s="90" t="str">
        <f aca="false">IFERROR(INDEX(Tasks[UID],SMALL(Tasks[_PickKey],Tasks[[#This Row],[_Row]]))&amp;" "&amp;INDEX(Tasks[Task Name],SMALL(Tasks[_PickKey],Tasks[[#This Row],[_Row]])),"")</f>
        <v/>
      </c>
      <c r="GX154" s="42" t="str">
        <f aca="false">IF(Tasks[[#This Row],[Task Name]]="","",IF(Tasks[[#This Row],[_IsSummary]],NETWORKDAYS.INTL(Tasks[[#This Row],[Start]],Tasks[[#This Row],[Finish]],WorkWeek,Holidays),N(Tasks[[#This Row],[_Days]])))</f>
        <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3"/>
      <c r="U155" s="23"/>
      <c r="V155" s="83"/>
      <c r="W155" s="23"/>
      <c r="X155" s="83"/>
      <c r="Y155" s="23"/>
      <c r="Z155" s="83"/>
      <c r="AA155" s="23"/>
      <c r="AB155" s="23"/>
      <c r="AC155" s="7"/>
      <c r="AD155" s="7"/>
      <c r="AE155" s="62" t="str">
        <f aca="false">IF(Tasks[[#This Row],[Task Name]]="","",IF(Tasks[[#This Row],[_IsSummary]],MIN(INDEX(Tasks[_ShownFcstStart],Tasks[[#This Row],[_Row]]+1):INDEX(Tasks[_ShownFcstStart],Tasks[[#This Row],[_Row]]+Tasks[[#This Row],[_Descendants]])),Tasks[[#This Row],[_ShownFcstStart]]))</f>
        <v/>
      </c>
      <c r="AF155" s="62"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5" s="7"/>
      <c r="AK155" s="22"/>
      <c r="AL155" s="23"/>
      <c r="AM155" s="7"/>
      <c r="AN155" s="46"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2" t="str">
        <f aca="false">IF(Tasks[[#This Row],[Task Name]]="","",IF(N(Tasks[[#This Row],[Baseline Start]])&gt;0,Tasks[[#This Row],[Baseline Start]],Tasks[[#This Row],[_CalcStart]]))</f>
        <v/>
      </c>
      <c r="AR155" s="62" t="str">
        <f aca="false">IF(Tasks[[#This Row],[Task Name]]="","",IF(N(Tasks[[#This Row],[Baseline Finish]])&gt;0,Tasks[[#This Row],[Baseline Finish]],Tasks[[#This Row],[_CalcFinish]]))</f>
        <v/>
      </c>
      <c r="AS155" s="46" t="str">
        <f aca="false">IF(Tasks[[#This Row],[Task Name]]="","",IF(Tasks[[#This Row],[Start]]&gt;=Tasks[[#This Row],[Planned Start]],NETWORKDAYS.INTL(Tasks[[#This Row],[Planned Start]],Tasks[[#This Row],[Start]],WorkWeek,Holidays)-1,1-NETWORKDAYS.INTL(Tasks[[#This Row],[Start]],Tasks[[#This Row],[Planned Start]],WorkWeek,Holidays)))</f>
        <v/>
      </c>
      <c r="AT155" s="62" t="str">
        <f aca="false">IF(Tasks[[#This Row],[Task Name]]="","",IF(Tasks[[#This Row],[_IsSummary]],MIN(INDEX(Tasks[_LeafLateStart],Tasks[[#This Row],[_Row]]+1):INDEX(Tasks[_LeafLateStart],Tasks[[#This Row],[_Row]]+Tasks[[#This Row],[_Descendants]])),Tasks[[#This Row],[_LeafLateStart]]))</f>
        <v/>
      </c>
      <c r="AU155" s="62" t="str">
        <f aca="false">IF(Tasks[[#This Row],[Task Name]]="","",IF(Tasks[[#This Row],[_IsSummary]],MAX(INDEX(Tasks[_LeafLateFinish],Tasks[[#This Row],[_Row]]+1):INDEX(Tasks[_LeafLateFinish],Tasks[[#This Row],[_Row]]+Tasks[[#This Row],[_Descendants]])),Tasks[[#This Row],[_LeafLateFinish]]))</f>
        <v/>
      </c>
      <c r="AV155" s="46"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4"/>
      <c r="BA1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5"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6"/>
      <c r="BJ155" s="22"/>
      <c r="BK155" s="46" t="str">
        <f aca="false">IF(OR(Tasks[[#This Row],[Task Name]]="",Tasks[[#This Row],[Baseline Duration]]=""),"",Tasks[[#This Row],[_SpanDays]]-N(Tasks[[#This Row],[Baseline Duration]]))</f>
        <v/>
      </c>
      <c r="BL155" s="85" t="str">
        <f aca="false">IF(OR(Tasks[[#This Row],[Task Name]]="",Tasks[[#This Row],[Baseline Work]]=""),"",Tasks[[#This Row],[Work]]-N(Tasks[[#This Row],[Baseline Work]]))</f>
        <v/>
      </c>
      <c r="BM155" s="62" t="str">
        <f aca="false">IF(Tasks[[#This Row],[Task Name]]="","",IF(OR(TakeBaseline="Yes",N(Tasks[[#This Row],[Baseline Start]])=0),Tasks[[#This Row],[Start]],Tasks[[#This Row],[Baseline Start]]))</f>
        <v/>
      </c>
      <c r="BN155" s="62"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5" t="str">
        <f aca="false">IF(Tasks[[#This Row],[Task Name]]="","",IF(OR(TakeBaseline="Yes",N(Tasks[[#This Row],[Baseline Work]])=0),Tasks[[#This Row],[Work]],Tasks[[#This Row],[Baseline Work]]))</f>
        <v/>
      </c>
      <c r="BQ155" s="7"/>
      <c r="BR155" s="7"/>
      <c r="BS155" s="22"/>
      <c r="BT155" s="87"/>
      <c r="BU155" s="42" t="str">
        <f aca="false">IF(Tasks[[#This Row],[Task Name]]="","",MAX(1,N(Tasks[[#This Row],[Level]])))</f>
        <v/>
      </c>
      <c r="BV155" s="42" t="n">
        <f aca="false">ROW()-ROW(Tasks[[#Headers],[ID]])</f>
        <v>150</v>
      </c>
      <c r="BW155" s="42" t="n">
        <f aca="false">IF(OR(Tasks[[#This Row],[Task Name]]="",Tasks[[#This Row],[_Level]]&lt;=1),0,IFERROR(LOOKUP(2,1/(Tasks[[#Headers],[_Level]]:Tasks[[#This Row],[_Level]]=Tasks[[#This Row],[_Level]]-1),ROW(Tasks[[#Headers],[_Level]]:Tasks[[#This Row],[_Level]])),0))</f>
        <v>0</v>
      </c>
      <c r="BX155" s="42" t="n">
        <f aca="false">IFERROR(N(INDEX(Tasks[_Level],Tasks[[#This Row],[_Row]]+1)),0)</f>
        <v>0</v>
      </c>
      <c r="BY155" s="88" t="b">
        <f aca="false">AND(Tasks[[#This Row],[Task Name]]&lt;&gt;"",Tasks[[#This Row],[_NextLevel]]&gt;Tasks[[#This Row],[_Level]])</f>
        <v>0</v>
      </c>
      <c r="BZ155" s="42" t="n">
        <f aca="false">IF(Tasks[[#This Row],[_IsSummary]],COUNTIF(Tasks[WBS],Tasks[[#This Row],[WBS]]&amp;".*"),0)</f>
        <v>0</v>
      </c>
      <c r="CA155" s="42" t="n">
        <f aca="false">IF(AND(Tasks[[#This Row],[Task Name]]&lt;&gt;"",NOT(Tasks[[#This Row],[_IsSummary]])),1,0)</f>
        <v>0</v>
      </c>
      <c r="CB155" s="42" t="n">
        <f aca="false">IF(N(Tasks[[#This Row],[_Pred1UID]])=0,0,IFERROR(MATCH(Tasks[[#This Row],[_Pred1UID]],Tasks[UID],0),-1))</f>
        <v>0</v>
      </c>
      <c r="CC155" s="42" t="n">
        <f aca="false">IF(N(Tasks[[#This Row],[_Pred2UID]])=0,0,IFERROR(MATCH(Tasks[[#This Row],[_Pred2UID]],Tasks[UID],0),-1))</f>
        <v>0</v>
      </c>
      <c r="CD155" s="42" t="n">
        <f aca="false">IF(N(Tasks[[#This Row],[_Pred3UID]])=0,0,IFERROR(MATCH(Tasks[[#This Row],[_Pred3UID]],Tasks[UID],0),-1))</f>
        <v>0</v>
      </c>
      <c r="CE155" s="42" t="n">
        <f aca="false">IF(N(Tasks[[#This Row],[_Pred4UID]])=0,0,IFERROR(MATCH(Tasks[[#This Row],[_Pred4UID]],Tasks[UID],0),-1))</f>
        <v>0</v>
      </c>
      <c r="CF1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5" s="89" t="n">
        <f aca="false">IF(OR(Tasks[[#This Row],[_ConstraintCode]]=2,Tasks[[#This Row],[_ConstraintCode]]=3,Tasks[[#This Row],[_ConstraintCode]]=4,Tasks[[#This Row],[_ConstraintCode]]=6),Tasks[[#This Row],[_ConstraintStart]],0)</f>
        <v>0</v>
      </c>
      <c r="CI155" s="89" t="n">
        <f aca="false">IF(OR(Tasks[[#This Row],[_ConstraintCode]]=2,Tasks[[#This Row],[_ConstraintCode]]=3,Tasks[[#This Row],[_ConstraintCode]]=5,Tasks[[#This Row],[_ConstraintCode]]=7),Tasks[[#This Row],[_ConstraintStart]],2958465)</f>
        <v>2958465</v>
      </c>
      <c r="CJ1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5" s="89" t="str">
        <f aca="false">IF(NOT(Tasks[[#This Row],[_IsLeaf]]=1),"",IF(N(Tasks[[#This Row],[_Days]])&lt;=0,Tasks[[#This Row],[_LeafCalcStart]],WORKDAY.INTL(Tasks[[#This Row],[_LeafCalcStart]],Tasks[[#This Row],[_Days]]-1,WorkWeek,Holidays)))</f>
        <v/>
      </c>
      <c r="CL1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5" s="42" t="str">
        <f aca="false">IF(Tasks[[#This Row],[_Predecessors]]="","",TRIM(MID(SUBSTITUTE(SUBSTITUTE(SUBSTITUTE(UPPER(Tasks[[#This Row],[_Predecessors]]),";",",")," ",""),",",REPT(" ",99)),1,99)))</f>
        <v/>
      </c>
      <c r="CO155" s="42" t="str">
        <f aca="false">IF(Tasks[[#This Row],[_Pred1Text]]="","",IFERROR(VALUE(LEFT(Tasks[[#This Row],[_Pred1Text]],MIN(FIND("F",Tasks[[#This Row],[_Pred1Text]]&amp;"F"),FIND("S",Tasks[[#This Row],[_Pred1Text]]&amp;"S"),FIND("+",Tasks[[#This Row],[_Pred1Text]]&amp;"+"),FIND("-",Tasks[[#This Row],[_Pred1Text]]&amp;"-"))-1)),""))</f>
        <v/>
      </c>
      <c r="CP1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5" s="42" t="str">
        <f aca="false">IF(Tasks[[#This Row],[_Pred1Text]]="","",TRIM(MID(SUBSTITUTE(SUBSTITUTE(SUBSTITUTE(UPPER(Tasks[[#This Row],[_Predecessors]]),";",",")," ",""),",",REPT(" ",99)),100,99)))</f>
        <v/>
      </c>
      <c r="CS155" s="42" t="str">
        <f aca="false">IF(Tasks[[#This Row],[_Pred2Text]]="","",IFERROR(VALUE(LEFT(Tasks[[#This Row],[_Pred2Text]],MIN(FIND("F",Tasks[[#This Row],[_Pred2Text]]&amp;"F"),FIND("S",Tasks[[#This Row],[_Pred2Text]]&amp;"S"),FIND("+",Tasks[[#This Row],[_Pred2Text]]&amp;"+"),FIND("-",Tasks[[#This Row],[_Pred2Text]]&amp;"-"))-1)),""))</f>
        <v/>
      </c>
      <c r="CT1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5" s="42" t="str">
        <f aca="false">IF(Tasks[[#This Row],[_Pred2Text]]="","",TRIM(MID(SUBSTITUTE(SUBSTITUTE(SUBSTITUTE(UPPER(Tasks[[#This Row],[_Predecessors]]),";",",")," ",""),",",REPT(" ",99)),199,99)))</f>
        <v/>
      </c>
      <c r="CW155" s="42" t="str">
        <f aca="false">IF(Tasks[[#This Row],[_Pred3Text]]="","",IFERROR(VALUE(LEFT(Tasks[[#This Row],[_Pred3Text]],MIN(FIND("F",Tasks[[#This Row],[_Pred3Text]]&amp;"F"),FIND("S",Tasks[[#This Row],[_Pred3Text]]&amp;"S"),FIND("+",Tasks[[#This Row],[_Pred3Text]]&amp;"+"),FIND("-",Tasks[[#This Row],[_Pred3Text]]&amp;"-"))-1)),""))</f>
        <v/>
      </c>
      <c r="CX1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5" s="42" t="str">
        <f aca="false">IF(Tasks[[#This Row],[_Pred3Text]]="","",TRIM(MID(SUBSTITUTE(SUBSTITUTE(SUBSTITUTE(UPPER(Tasks[[#This Row],[_Predecessors]]),";",",")," ",""),",",REPT(" ",99)),298,99)))</f>
        <v/>
      </c>
      <c r="DA155" s="42" t="str">
        <f aca="false">IF(Tasks[[#This Row],[_Pred4Text]]="","",IFERROR(VALUE(LEFT(Tasks[[#This Row],[_Pred4Text]],MIN(FIND("F",Tasks[[#This Row],[_Pred4Text]]&amp;"F"),FIND("S",Tasks[[#This Row],[_Pred4Text]]&amp;"S"),FIND("+",Tasks[[#This Row],[_Pred4Text]]&amp;"+"),FIND("-",Tasks[[#This Row],[_Pred4Text]]&amp;"-"))-1)),""))</f>
        <v/>
      </c>
      <c r="DB1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5" s="42" t="str">
        <f aca="false">IF(OR(Tasks[[#This Row],[Task Name]]="",Tasks[[#This Row],[_Resources]]=""),"",TRIM(MID(SUBSTITUTE(Tasks[[#This Row],[_Resources]],",",REPT(" ",99)),1,99)))</f>
        <v/>
      </c>
      <c r="DE155" s="42" t="str">
        <f aca="false">IF(Tasks[[#This Row],[_Res1Text]]="","",TRIM(MID(SUBSTITUTE(Tasks[[#This Row],[_Resources]],",",REPT(" ",99)),100,99)))</f>
        <v/>
      </c>
      <c r="DF155" s="42" t="str">
        <f aca="false">IF(Tasks[[#This Row],[_Res2Text]]="","",TRIM(MID(SUBSTITUTE(Tasks[[#This Row],[_Resources]],",",REPT(" ",99)),199,99)))</f>
        <v/>
      </c>
      <c r="DG155" s="42" t="str">
        <f aca="false">IF(Tasks[[#This Row],[_Res3Text]]="","",TRIM(MID(SUBSTITUTE(Tasks[[#This Row],[_Resources]],",",REPT(" ",99)),298,99)))</f>
        <v/>
      </c>
      <c r="DH155" s="42" t="n">
        <f aca="false">IF(Tasks[[#This Row],[_Res1Text]]="",0,IFERROR(MATCH(TRIM(LEFT(Tasks[[#This Row],[_Res1Text]],FIND("[",Tasks[[#This Row],[_Res1Text]]&amp;"[")-1)),res_Name,0),IFERROR(MATCH(TRIM(LEFT(Tasks[[#This Row],[_Res1Text]],FIND("[",Tasks[[#This Row],[_Res1Text]]&amp;"[")-1)),res_Initials,0),0)))</f>
        <v>0</v>
      </c>
      <c r="DI155" s="42" t="n">
        <f aca="false">IF(Tasks[[#This Row],[_Res2Text]]="",0,IFERROR(MATCH(TRIM(LEFT(Tasks[[#This Row],[_Res2Text]],FIND("[",Tasks[[#This Row],[_Res2Text]]&amp;"[")-1)),res_Name,0),IFERROR(MATCH(TRIM(LEFT(Tasks[[#This Row],[_Res2Text]],FIND("[",Tasks[[#This Row],[_Res2Text]]&amp;"[")-1)),res_Initials,0),0)))</f>
        <v>0</v>
      </c>
      <c r="DJ155" s="42" t="n">
        <f aca="false">IF(Tasks[[#This Row],[_Res3Text]]="",0,IFERROR(MATCH(TRIM(LEFT(Tasks[[#This Row],[_Res3Text]],FIND("[",Tasks[[#This Row],[_Res3Text]]&amp;"[")-1)),res_Name,0),IFERROR(MATCH(TRIM(LEFT(Tasks[[#This Row],[_Res3Text]],FIND("[",Tasks[[#This Row],[_Res3Text]]&amp;"[")-1)),res_Initials,0),0)))</f>
        <v>0</v>
      </c>
      <c r="DK155" s="42" t="n">
        <f aca="false">IF(Tasks[[#This Row],[_Res4Text]]="",0,IFERROR(MATCH(TRIM(LEFT(Tasks[[#This Row],[_Res4Text]],FIND("[",Tasks[[#This Row],[_Res4Text]]&amp;"[")-1)),res_Name,0),IFERROR(MATCH(TRIM(LEFT(Tasks[[#This Row],[_Res4Text]],FIND("[",Tasks[[#This Row],[_Res4Text]]&amp;"[")-1)),res_Initials,0),0)))</f>
        <v>0</v>
      </c>
      <c r="DL155" s="42" t="str">
        <f aca="false">IF(Tasks[[#This Row],[_Res1Text]]="","",IF(Tasks[[#This Row],[_Res1Row]]&gt;0,INDEX(res_Name,Tasks[[#This Row],[_Res1Row]]),TRIM(LEFT(Tasks[[#This Row],[_Res1Text]],FIND("[",Tasks[[#This Row],[_Res1Text]]&amp;"[")-1))))</f>
        <v/>
      </c>
      <c r="DM1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5" s="42" t="n">
        <f aca="false">IF(NOT(Tasks[[#This Row],[_IsLeaf]]=1),0,(Tasks[[#This Row],[_Resource1]]&lt;&gt;"")+(Tasks[[#This Row],[_Res2]]&lt;&gt;"")+(Tasks[[#This Row],[_Res3]]&lt;&gt;"")+(Tasks[[#This Row],[_Res4]]&lt;&gt;""))</f>
        <v>0</v>
      </c>
      <c r="DO155" s="42" t="str">
        <f aca="false">IF(Tasks[[#This Row],[_Res2Text]]="","",IF(Tasks[[#This Row],[_Res2Row]]&gt;0,INDEX(res_Name,Tasks[[#This Row],[_Res2Row]]),TRIM(LEFT(Tasks[[#This Row],[_Res2Text]],FIND("[",Tasks[[#This Row],[_Res2Text]]&amp;"[")-1))))</f>
        <v/>
      </c>
      <c r="DP1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5" s="42" t="n">
        <f aca="false">IF(OR(NOT(Tasks[[#This Row],[_IsLeaf]]=1),Tasks[[#This Row],[_Res2Row]]=0),0,N(Tasks[[#This Row],[_Days]])*HoursPerDay*IF(Tasks[[#This Row],[_Res2Units]]="",DefaultUnits,Tasks[[#This Row],[_Res2Units]]))</f>
        <v>0</v>
      </c>
      <c r="DR155" s="42" t="n">
        <f aca="false">IF(AND(AND(Tasks[[#This Row],[_IsLeaf]]=1,Tasks[[#This Row],[_LeafTotalWork]]&gt;0),Tasks[[#This Row],[_Res2Work]]&gt;0),Tasks[[#This Row],[_Res2Work]]/(Tasks[[#This Row],[_FinishWorkday]]-Tasks[[#This Row],[_StartWorkday]]+1),0)</f>
        <v>0</v>
      </c>
      <c r="DS155" s="42" t="n">
        <f aca="false">Tasks[[#This Row],[_Res2WorkPerWD]]*MAX(0,Tasks[[#This Row],[_StartWorkday]]-1)</f>
        <v>0</v>
      </c>
      <c r="DT155" s="42" t="n">
        <f aca="false">Tasks[[#This Row],[_Res2Work]]*Tasks[[#This Row],[_LeafProgress]]</f>
        <v>0</v>
      </c>
      <c r="DU155" s="42" t="str">
        <f aca="false">IF(Tasks[[#This Row],[_Res3Text]]="","",IF(Tasks[[#This Row],[_Res3Row]]&gt;0,INDEX(res_Name,Tasks[[#This Row],[_Res3Row]]),TRIM(LEFT(Tasks[[#This Row],[_Res3Text]],FIND("[",Tasks[[#This Row],[_Res3Text]]&amp;"[")-1))))</f>
        <v/>
      </c>
      <c r="DV1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5" s="42" t="n">
        <f aca="false">IF(OR(NOT(Tasks[[#This Row],[_IsLeaf]]=1),Tasks[[#This Row],[_Res3Row]]=0),0,N(Tasks[[#This Row],[_Days]])*HoursPerDay*IF(Tasks[[#This Row],[_Res3Units]]="",DefaultUnits,Tasks[[#This Row],[_Res3Units]]))</f>
        <v>0</v>
      </c>
      <c r="DX155" s="42" t="n">
        <f aca="false">IF(AND(AND(Tasks[[#This Row],[_IsLeaf]]=1,Tasks[[#This Row],[_LeafTotalWork]]&gt;0),Tasks[[#This Row],[_Res3Work]]&gt;0),Tasks[[#This Row],[_Res3Work]]/(Tasks[[#This Row],[_FinishWorkday]]-Tasks[[#This Row],[_StartWorkday]]+1),0)</f>
        <v>0</v>
      </c>
      <c r="DY155" s="42" t="n">
        <f aca="false">Tasks[[#This Row],[_Res3WorkPerWD]]*MAX(0,Tasks[[#This Row],[_StartWorkday]]-1)</f>
        <v>0</v>
      </c>
      <c r="DZ155" s="42" t="n">
        <f aca="false">Tasks[[#This Row],[_Res3Work]]*Tasks[[#This Row],[_LeafProgress]]</f>
        <v>0</v>
      </c>
      <c r="EA155" s="42" t="str">
        <f aca="false">IF(Tasks[[#This Row],[_Res4Text]]="","",IF(Tasks[[#This Row],[_Res4Row]]&gt;0,INDEX(res_Name,Tasks[[#This Row],[_Res4Row]]),TRIM(LEFT(Tasks[[#This Row],[_Res4Text]],FIND("[",Tasks[[#This Row],[_Res4Text]]&amp;"[")-1))))</f>
        <v/>
      </c>
      <c r="EB1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5" s="42" t="n">
        <f aca="false">IF(OR(NOT(Tasks[[#This Row],[_IsLeaf]]=1),Tasks[[#This Row],[_Res4Row]]=0),0,N(Tasks[[#This Row],[_Days]])*HoursPerDay*IF(Tasks[[#This Row],[_Res4Units]]="",DefaultUnits,Tasks[[#This Row],[_Res4Units]]))</f>
        <v>0</v>
      </c>
      <c r="ED155" s="42" t="n">
        <f aca="false">IF(AND(AND(Tasks[[#This Row],[_IsLeaf]]=1,Tasks[[#This Row],[_LeafTotalWork]]&gt;0),Tasks[[#This Row],[_Res4Work]]&gt;0),Tasks[[#This Row],[_Res4Work]]/(Tasks[[#This Row],[_FinishWorkday]]-Tasks[[#This Row],[_StartWorkday]]+1),0)</f>
        <v>0</v>
      </c>
      <c r="EE155" s="42" t="n">
        <f aca="false">Tasks[[#This Row],[_Res4WorkPerWD]]*MAX(0,Tasks[[#This Row],[_StartWorkday]]-1)</f>
        <v>0</v>
      </c>
      <c r="EF155" s="42" t="n">
        <f aca="false">Tasks[[#This Row],[_Res4Work]]*Tasks[[#This Row],[_LeafProgress]]</f>
        <v>0</v>
      </c>
      <c r="EG155" s="42" t="n">
        <f aca="false">IF(ISNUMBER(Tasks[[#This Row],[% Complete]]),Tasks[[#This Row],[% Complete]],IF(Tasks[[#This Row],[Stage]]="",0,IFERROR(INDEX(stg_Pct,MATCH(Tasks[[#This Row],[Stage]],stg_Name,0)),0)))</f>
        <v>0</v>
      </c>
      <c r="EH155" s="42" t="n">
        <f aca="false">IF(NOT(Tasks[[#This Row],[_IsLeaf]]=1),0,IF(N(Tasks[[#This Row],[Actual Finish]])&gt;0,1,MIN(1,Tasks[[#This Row],[_Pct]])))</f>
        <v>0</v>
      </c>
      <c r="EI155" s="42" t="n">
        <f aca="false">IF(OR(NOT(Tasks[[#This Row],[_IsLeaf]]=1),Tasks[[#This Row],[_Res1Row]]=0),0,N(Tasks[[#This Row],[_Days]])*HoursPerDay*IF(Tasks[[#This Row],[_Units1]]="",DefaultUnits,Tasks[[#This Row],[_Units1]]))</f>
        <v>0</v>
      </c>
      <c r="EJ155" s="42" t="n">
        <f aca="false">Tasks[[#This Row],[_LeafWork]]+Tasks[[#This Row],[_Res2Work]]+Tasks[[#This Row],[_Res3Work]]+Tasks[[#This Row],[_Res4Work]]</f>
        <v>0</v>
      </c>
      <c r="EK1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5" s="42" t="n">
        <f aca="false">IF(NOT(Tasks[[#This Row],[_IsLeaf]]=1),0,MAX(_xlfn.MAXIFS(Tasks[_Row],Tasks[_Pred1UID],Tasks[[#This Row],[UID]]),_xlfn.MAXIFS(Tasks[_Row],Tasks[_Pred2UID],Tasks[[#This Row],[UID]]),_xlfn.MAXIFS(Tasks[_Row],Tasks[_Pred3UID],Tasks[[#This Row],[UID]]),_xlfn.MAXIFS(Tasks[_Row],Tasks[_Pred4UID],Tasks[[#This Row],[UID]])))</f>
        <v>0</v>
      </c>
      <c r="ET1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5" s="89" t="str">
        <f aca="false">IF(NOT(Tasks[[#This Row],[_IsLeaf]]=1),"",IF(N(Tasks[[#This Row],[_Days]])&lt;=0,Tasks[[#This Row],[_LeafLateFinish]],WORKDAY.INTL(Tasks[[#This Row],[_LeafLateFinish]],-(Tasks[[#This Row],[_Days]]-1),WorkWeek,Holidays)))</f>
        <v/>
      </c>
      <c r="EW1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5" s="88" t="b">
        <f aca="false">AND(Tasks[[#This Row],[_IsLeaf]]=1,Tasks[[#This Row],[_LeafProgress]]&lt;1,N(Tasks[[#This Row],[_LeafTotalSlack]])&lt;=CriticalSlackDays)</f>
        <v>0</v>
      </c>
      <c r="EY155" s="42" t="n">
        <f aca="false">IF(AND(Tasks[[#This Row],[_IsLeaf]]=1,Tasks[[#This Row],[_ConstraintCode]]=1,Tasks[[#This Row],[Mode]]&lt;&gt;"Manual",N(Tasks[[#This Row],[Actual Start]])=0),MAX(0,N(Tasks[[#This Row],[Free Slack]])),0)</f>
        <v>0</v>
      </c>
      <c r="EZ155" s="89" t="str">
        <f aca="false">IF(NOT(Tasks[[#This Row],[_IsLeaf]]=1),"",IF(Tasks[[#This Row],[_AlapShift]]=0,Tasks[[#This Row],[_LeafCalcStart]],WORKDAY.INTL(Tasks[[#This Row],[_LeafCalcStart]],Tasks[[#This Row],[_AlapShift]],WorkWeek,Holidays)))</f>
        <v/>
      </c>
      <c r="FA155" s="89" t="str">
        <f aca="false">IF(NOT(Tasks[[#This Row],[_IsLeaf]]=1),"",IF(Tasks[[#This Row],[_AlapShift]]=0,Tasks[[#This Row],[_LeafCalcFinish]],WORKDAY.INTL(Tasks[[#This Row],[_LeafCalcFinish]],Tasks[[#This Row],[_AlapShift]],WorkWeek,Holidays)))</f>
        <v/>
      </c>
      <c r="FB155" s="89" t="str">
        <f aca="false">IF(NOT(Tasks[[#This Row],[_IsLeaf]]=1),"",IF(Tasks[[#This Row],[_AlapShift]]=0,Tasks[[#This Row],[_LeafFcstStart]],WORKDAY.INTL(Tasks[[#This Row],[_LeafFcstStart]],Tasks[[#This Row],[_AlapShift]],WorkWeek,Holidays)))</f>
        <v/>
      </c>
      <c r="FC155" s="89" t="str">
        <f aca="false">IF(NOT(Tasks[[#This Row],[_IsLeaf]]=1),"",IF(Tasks[[#This Row],[_AlapShift]]=0,Tasks[[#This Row],[_LeafFcstFinish]],WORKDAY.INTL(Tasks[[#This Row],[_LeafFcstFinish]],Tasks[[#This Row],[_AlapShift]],WorkWeek,Holidays)))</f>
        <v/>
      </c>
      <c r="FD155" s="89" t="str">
        <f aca="false">IF(Tasks[[#This Row],[Task Name]]="","",IF(Tasks[[#This Row],[_IsSummary]],MIN(INDEX(Tasks[_ShownCalcStart],Tasks[[#This Row],[_Row]]+1):INDEX(Tasks[_ShownCalcStart],Tasks[[#This Row],[_Row]]+Tasks[[#This Row],[_Descendants]])),Tasks[[#This Row],[_ShownCalcStart]]))</f>
        <v/>
      </c>
      <c r="FE155" s="89" t="str">
        <f aca="false">IF(Tasks[[#This Row],[Task Name]]="","",IF(Tasks[[#This Row],[_IsSummary]],MAX(INDEX(Tasks[_ShownCalcFinish],Tasks[[#This Row],[_Row]]+1):INDEX(Tasks[_ShownCalcFinish],Tasks[[#This Row],[_Row]]+Tasks[[#This Row],[_Descendants]])),Tasks[[#This Row],[_ShownCalcFinish]]))</f>
        <v/>
      </c>
      <c r="FF1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5" s="42" t="n">
        <f aca="false">IF(AND(Tasks[[#This Row],[_IsLeaf]]=1,Tasks[[#This Row],[_LeafTotalWork]]&gt;0),NETWORKDAYS.INTL(ProjectStart,Tasks[[#This Row],[_ShownFcstStart]],WorkWeek,Holidays),0)</f>
        <v>0</v>
      </c>
      <c r="FS155" s="42" t="n">
        <f aca="false">IF(AND(Tasks[[#This Row],[_IsLeaf]]=1,Tasks[[#This Row],[_LeafTotalWork]]&gt;0),MAX(Tasks[[#This Row],[_StartWorkday]],NETWORKDAYS.INTL(ProjectStart,Tasks[[#This Row],[_ShownFcstFinish]],WorkWeek,Holidays)),0)</f>
        <v>0</v>
      </c>
      <c r="FT155" s="42" t="n">
        <f aca="false">IF(AND(Tasks[[#This Row],[_IsLeaf]]=1,Tasks[[#This Row],[_LeafTotalWork]]&gt;0),Tasks[[#This Row],[_LeafWork]]/(Tasks[[#This Row],[_FinishWorkday]]-Tasks[[#This Row],[_StartWorkday]]+1),0)</f>
        <v>0</v>
      </c>
      <c r="FU155" s="42" t="n">
        <f aca="false">Tasks[[#This Row],[_WorkPerWorkday]]*(Tasks[[#This Row],[_StartWorkday]]-1)</f>
        <v>-0</v>
      </c>
      <c r="FV155" s="42" t="n">
        <f aca="false">IF(Tasks[[#This Row],[_IsLeaf]]=1,MAX(N(Tasks[[#This Row],[_Days]]),0.1),0)</f>
        <v>0</v>
      </c>
      <c r="FW155" s="42" t="n">
        <f aca="false">Tasks[[#This Row],[_WeightDur]]*Tasks[[#This Row],[_LeafProgress]]</f>
        <v>0</v>
      </c>
      <c r="FX155" s="42" t="n">
        <f aca="false">Tasks[[#This Row],[_WeightDur]]*Tasks[[#This Row],[_PlannedPct]]</f>
        <v>0</v>
      </c>
      <c r="FY1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5" s="42" t="str">
        <f aca="false">IF(AND(Tasks[[#This Row],[_IsLeaf]]=1,N(Tasks[[#This Row],[_Days]])=0,Tasks[[#This Row],[_LeafProgress]]&lt;1),Tasks[[#This Row],[_ShownFcstFinish]]+Tasks[[#This Row],[_Row]]/100000,"")</f>
        <v/>
      </c>
      <c r="GA1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5" s="42" t="str">
        <f aca="false">IF(Tasks[[#This Row],[Task Name]]="","",LEFT(Tasks[[#This Row],[WBS]],FIND(".",Tasks[[#This Row],[WBS]]&amp;".")-1))</f>
        <v/>
      </c>
      <c r="GC155" s="42" t="str">
        <f aca="false">IF(AND(Tasks[[#This Row],[Task Name]]&lt;&gt;"",Tasks[[#This Row],[_Level]]=1),Tasks[[#This Row],[_Row]],"")</f>
        <v/>
      </c>
      <c r="GD155" s="42" t="str">
        <f aca="false">IF(AND(Tasks[[#This Row],[_IsLeaf]]=1,N(Tasks[[#This Row],[_Days]])=0),Tasks[[#This Row],[Planned Finish]]+Tasks[[#This Row],[_Row]]/100000,"")</f>
        <v/>
      </c>
      <c r="GE155" s="42" t="str">
        <f aca="false">IF(AND(Tasks[[#This Row],[_IsLeaf]]=1,Tasks[[#This Row],[_LeafProgress]]&lt;1,OR(N(Tasks[[#This Row],[Finish Var]])&gt;0,Tasks[[#This Row],[Status]]="Late Start")),MAX(0,Tasks[[#This Row],[Finish Var]])+1-Tasks[[#This Row],[_Row]]/1000000,"")</f>
        <v/>
      </c>
      <c r="GF155" s="42" t="str">
        <f aca="false">IF(AND(Tasks[[#This Row],[_IsLeaf]]=1,N(Tasks[[#This Row],[Actual Start]])=0,Tasks[[#This Row],[_ShownFcstStart]]&gt;=StatusDate,Tasks[[#This Row],[_ShownFcstStart]]&lt;=LookaheadEnd),Tasks[[#This Row],[_ShownFcstStart]]+Tasks[[#This Row],[_Row]]/100000,"")</f>
        <v/>
      </c>
      <c r="GG155" s="42" t="str">
        <f aca="false">IF(AND(Tasks[[#This Row],[_IsLeaf]]=1,Tasks[[#This Row],[_LeafProgress]]&lt;1,Tasks[[#This Row],[_ShownFcstFinish]]&gt;=StatusDate,Tasks[[#This Row],[_ShownFcstFinish]]&lt;=LookaheadEnd),Tasks[[#This Row],[_ShownFcstFinish]]+Tasks[[#This Row],[_Row]]/100000,"")</f>
        <v/>
      </c>
      <c r="GH155" s="42" t="str">
        <f aca="false">IF(Tasks[[#This Row],[_LeafCritical]],Tasks[[#This Row],[_ShownFcstStart]]+Tasks[[#This Row],[_Row]]/100000,"")</f>
        <v/>
      </c>
      <c r="GI155" s="42" t="n">
        <f aca="false">Tasks[[#This Row],[_LeafWork]]*Tasks[[#This Row],[_LeafProgress]]</f>
        <v>0</v>
      </c>
      <c r="GJ155" s="89" t="str">
        <f aca="false">IF(AND(Tasks[[#This Row],[_IsLeaf]]=1,Tasks[[#This Row],[_LeafProgress]]&gt;=1),IF(N(Tasks[[#This Row],[Actual Finish]])&gt;0,Tasks[[#This Row],[Actual Finish]],Tasks[[#This Row],[_ShownFcstFinish]]),"")</f>
        <v/>
      </c>
      <c r="GK155" s="42" t="n">
        <f aca="false">IF(Tasks[[#This Row],[_IsLeaf]]=1,N(Tasks[[#This Row],[Story Points]]),0)</f>
        <v>0</v>
      </c>
      <c r="GL155" s="42" t="str">
        <f aca="false">""</f>
        <v/>
      </c>
      <c r="GM155" s="88" t="b">
        <f aca="false">IF(Tasks[[#This Row],[Task Name]]="",FALSE(),AND(Tasks[[#This Row],[_IsLeaf]]=1,N(Tasks[[#This Row],[_Days]])=0))</f>
        <v>0</v>
      </c>
      <c r="GN155" s="89" t="n">
        <f aca="false">IF(Tasks[[#This Row],[Task Name]]="",0,IF(AND(Tasks[[#This Row],[_IsLeaf]]=1,NOT(Tasks[[#This Row],[_IsMilestone]]),N(Tasks[[#This Row],[Progress]])&gt;0),Tasks[[#This Row],[Start]],0))</f>
        <v>0</v>
      </c>
      <c r="GO155" s="89" t="n">
        <f aca="false">IF(Tasks[[#This Row],[_DoneFrom]]=0,0,IF(Tasks[[#This Row],[Progress]]&gt;=1,Tasks[[#This Row],[Finish]],MAX(Tasks[[#This Row],[_DoneFrom]],Tasks[[#This Row],[Start]]+ROUND((Tasks[[#This Row],[Finish]]-Tasks[[#This Row],[Start]]+1)*Tasks[[#This Row],[Progress]],0)-1)))</f>
        <v>0</v>
      </c>
      <c r="GP155" s="89" t="n">
        <f aca="false">IF(Tasks[[#This Row],[Task Name]]="",0,IF(OR(NOT(Tasks[[#This Row],[_IsLeaf]]=1),Tasks[[#This Row],[_IsMilestone]],N(Tasks[[#This Row],[Progress]])&gt;=1),0,IF(Tasks[[#This Row],[_DoneTo]]&gt;0,Tasks[[#This Row],[_DoneTo]]+1,Tasks[[#This Row],[Start]])))</f>
        <v>0</v>
      </c>
      <c r="GQ155" s="89" t="n">
        <f aca="false">IF(Tasks[[#This Row],[_RemFrom]]=0,0,Tasks[[#This Row],[Finish]])</f>
        <v>0</v>
      </c>
      <c r="GR155" s="88" t="b">
        <f aca="false">IF(Tasks[[#This Row],[Task Name]]="",FALSE(),OR(NOT(BaselineSet),N(Tasks[[#This Row],[Baseline Start]])&gt;0))</f>
        <v>0</v>
      </c>
      <c r="GS1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5" s="90" t="str">
        <f aca="false">IF(Tasks[[#This Row],[_IsLeaf]]=1,Tasks[[#This Row],[_Row]],"")</f>
        <v/>
      </c>
      <c r="GW155" s="90" t="str">
        <f aca="false">IFERROR(INDEX(Tasks[UID],SMALL(Tasks[_PickKey],Tasks[[#This Row],[_Row]]))&amp;" "&amp;INDEX(Tasks[Task Name],SMALL(Tasks[_PickKey],Tasks[[#This Row],[_Row]])),"")</f>
        <v/>
      </c>
      <c r="GX155" s="42" t="str">
        <f aca="false">IF(Tasks[[#This Row],[Task Name]]="","",IF(Tasks[[#This Row],[_IsSummary]],NETWORKDAYS.INTL(Tasks[[#This Row],[Start]],Tasks[[#This Row],[Finish]],WorkWeek,Holidays),N(Tasks[[#This Row],[_Days]])))</f>
        <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3"/>
      <c r="U156" s="23"/>
      <c r="V156" s="83"/>
      <c r="W156" s="23"/>
      <c r="X156" s="83"/>
      <c r="Y156" s="23"/>
      <c r="Z156" s="83"/>
      <c r="AA156" s="23"/>
      <c r="AB156" s="23"/>
      <c r="AC156" s="7"/>
      <c r="AD156" s="7"/>
      <c r="AE156" s="62" t="str">
        <f aca="false">IF(Tasks[[#This Row],[Task Name]]="","",IF(Tasks[[#This Row],[_IsSummary]],MIN(INDEX(Tasks[_ShownFcstStart],Tasks[[#This Row],[_Row]]+1):INDEX(Tasks[_ShownFcstStart],Tasks[[#This Row],[_Row]]+Tasks[[#This Row],[_Descendants]])),Tasks[[#This Row],[_ShownFcstStart]]))</f>
        <v/>
      </c>
      <c r="AF156" s="62"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6" s="7"/>
      <c r="AK156" s="22"/>
      <c r="AL156" s="23"/>
      <c r="AM156" s="7"/>
      <c r="AN156" s="46"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2" t="str">
        <f aca="false">IF(Tasks[[#This Row],[Task Name]]="","",IF(N(Tasks[[#This Row],[Baseline Start]])&gt;0,Tasks[[#This Row],[Baseline Start]],Tasks[[#This Row],[_CalcStart]]))</f>
        <v/>
      </c>
      <c r="AR156" s="62" t="str">
        <f aca="false">IF(Tasks[[#This Row],[Task Name]]="","",IF(N(Tasks[[#This Row],[Baseline Finish]])&gt;0,Tasks[[#This Row],[Baseline Finish]],Tasks[[#This Row],[_CalcFinish]]))</f>
        <v/>
      </c>
      <c r="AS156" s="46" t="str">
        <f aca="false">IF(Tasks[[#This Row],[Task Name]]="","",IF(Tasks[[#This Row],[Start]]&gt;=Tasks[[#This Row],[Planned Start]],NETWORKDAYS.INTL(Tasks[[#This Row],[Planned Start]],Tasks[[#This Row],[Start]],WorkWeek,Holidays)-1,1-NETWORKDAYS.INTL(Tasks[[#This Row],[Start]],Tasks[[#This Row],[Planned Start]],WorkWeek,Holidays)))</f>
        <v/>
      </c>
      <c r="AT156" s="62" t="str">
        <f aca="false">IF(Tasks[[#This Row],[Task Name]]="","",IF(Tasks[[#This Row],[_IsSummary]],MIN(INDEX(Tasks[_LeafLateStart],Tasks[[#This Row],[_Row]]+1):INDEX(Tasks[_LeafLateStart],Tasks[[#This Row],[_Row]]+Tasks[[#This Row],[_Descendants]])),Tasks[[#This Row],[_LeafLateStart]]))</f>
        <v/>
      </c>
      <c r="AU156" s="62" t="str">
        <f aca="false">IF(Tasks[[#This Row],[Task Name]]="","",IF(Tasks[[#This Row],[_IsSummary]],MAX(INDEX(Tasks[_LeafLateFinish],Tasks[[#This Row],[_Row]]+1):INDEX(Tasks[_LeafLateFinish],Tasks[[#This Row],[_Row]]+Tasks[[#This Row],[_Descendants]])),Tasks[[#This Row],[_LeafLateFinish]]))</f>
        <v/>
      </c>
      <c r="AV156" s="46"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4"/>
      <c r="BA1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5"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6"/>
      <c r="BJ156" s="22"/>
      <c r="BK156" s="46" t="str">
        <f aca="false">IF(OR(Tasks[[#This Row],[Task Name]]="",Tasks[[#This Row],[Baseline Duration]]=""),"",Tasks[[#This Row],[_SpanDays]]-N(Tasks[[#This Row],[Baseline Duration]]))</f>
        <v/>
      </c>
      <c r="BL156" s="85" t="str">
        <f aca="false">IF(OR(Tasks[[#This Row],[Task Name]]="",Tasks[[#This Row],[Baseline Work]]=""),"",Tasks[[#This Row],[Work]]-N(Tasks[[#This Row],[Baseline Work]]))</f>
        <v/>
      </c>
      <c r="BM156" s="62" t="str">
        <f aca="false">IF(Tasks[[#This Row],[Task Name]]="","",IF(OR(TakeBaseline="Yes",N(Tasks[[#This Row],[Baseline Start]])=0),Tasks[[#This Row],[Start]],Tasks[[#This Row],[Baseline Start]]))</f>
        <v/>
      </c>
      <c r="BN156" s="62"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5" t="str">
        <f aca="false">IF(Tasks[[#This Row],[Task Name]]="","",IF(OR(TakeBaseline="Yes",N(Tasks[[#This Row],[Baseline Work]])=0),Tasks[[#This Row],[Work]],Tasks[[#This Row],[Baseline Work]]))</f>
        <v/>
      </c>
      <c r="BQ156" s="7"/>
      <c r="BR156" s="7"/>
      <c r="BS156" s="22"/>
      <c r="BT156" s="87"/>
      <c r="BU156" s="42" t="str">
        <f aca="false">IF(Tasks[[#This Row],[Task Name]]="","",MAX(1,N(Tasks[[#This Row],[Level]])))</f>
        <v/>
      </c>
      <c r="BV156" s="42" t="n">
        <f aca="false">ROW()-ROW(Tasks[[#Headers],[ID]])</f>
        <v>151</v>
      </c>
      <c r="BW156" s="42" t="n">
        <f aca="false">IF(OR(Tasks[[#This Row],[Task Name]]="",Tasks[[#This Row],[_Level]]&lt;=1),0,IFERROR(LOOKUP(2,1/(Tasks[[#Headers],[_Level]]:Tasks[[#This Row],[_Level]]=Tasks[[#This Row],[_Level]]-1),ROW(Tasks[[#Headers],[_Level]]:Tasks[[#This Row],[_Level]])),0))</f>
        <v>0</v>
      </c>
      <c r="BX156" s="42" t="n">
        <f aca="false">IFERROR(N(INDEX(Tasks[_Level],Tasks[[#This Row],[_Row]]+1)),0)</f>
        <v>0</v>
      </c>
      <c r="BY156" s="88" t="b">
        <f aca="false">AND(Tasks[[#This Row],[Task Name]]&lt;&gt;"",Tasks[[#This Row],[_NextLevel]]&gt;Tasks[[#This Row],[_Level]])</f>
        <v>0</v>
      </c>
      <c r="BZ156" s="42" t="n">
        <f aca="false">IF(Tasks[[#This Row],[_IsSummary]],COUNTIF(Tasks[WBS],Tasks[[#This Row],[WBS]]&amp;".*"),0)</f>
        <v>0</v>
      </c>
      <c r="CA156" s="42" t="n">
        <f aca="false">IF(AND(Tasks[[#This Row],[Task Name]]&lt;&gt;"",NOT(Tasks[[#This Row],[_IsSummary]])),1,0)</f>
        <v>0</v>
      </c>
      <c r="CB156" s="42" t="n">
        <f aca="false">IF(N(Tasks[[#This Row],[_Pred1UID]])=0,0,IFERROR(MATCH(Tasks[[#This Row],[_Pred1UID]],Tasks[UID],0),-1))</f>
        <v>0</v>
      </c>
      <c r="CC156" s="42" t="n">
        <f aca="false">IF(N(Tasks[[#This Row],[_Pred2UID]])=0,0,IFERROR(MATCH(Tasks[[#This Row],[_Pred2UID]],Tasks[UID],0),-1))</f>
        <v>0</v>
      </c>
      <c r="CD156" s="42" t="n">
        <f aca="false">IF(N(Tasks[[#This Row],[_Pred3UID]])=0,0,IFERROR(MATCH(Tasks[[#This Row],[_Pred3UID]],Tasks[UID],0),-1))</f>
        <v>0</v>
      </c>
      <c r="CE156" s="42" t="n">
        <f aca="false">IF(N(Tasks[[#This Row],[_Pred4UID]])=0,0,IFERROR(MATCH(Tasks[[#This Row],[_Pred4UID]],Tasks[UID],0),-1))</f>
        <v>0</v>
      </c>
      <c r="CF1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6" s="89" t="n">
        <f aca="false">IF(OR(Tasks[[#This Row],[_ConstraintCode]]=2,Tasks[[#This Row],[_ConstraintCode]]=3,Tasks[[#This Row],[_ConstraintCode]]=4,Tasks[[#This Row],[_ConstraintCode]]=6),Tasks[[#This Row],[_ConstraintStart]],0)</f>
        <v>0</v>
      </c>
      <c r="CI156" s="89" t="n">
        <f aca="false">IF(OR(Tasks[[#This Row],[_ConstraintCode]]=2,Tasks[[#This Row],[_ConstraintCode]]=3,Tasks[[#This Row],[_ConstraintCode]]=5,Tasks[[#This Row],[_ConstraintCode]]=7),Tasks[[#This Row],[_ConstraintStart]],2958465)</f>
        <v>2958465</v>
      </c>
      <c r="CJ1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6" s="89" t="str">
        <f aca="false">IF(NOT(Tasks[[#This Row],[_IsLeaf]]=1),"",IF(N(Tasks[[#This Row],[_Days]])&lt;=0,Tasks[[#This Row],[_LeafCalcStart]],WORKDAY.INTL(Tasks[[#This Row],[_LeafCalcStart]],Tasks[[#This Row],[_Days]]-1,WorkWeek,Holidays)))</f>
        <v/>
      </c>
      <c r="CL1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6" s="42" t="str">
        <f aca="false">IF(Tasks[[#This Row],[_Predecessors]]="","",TRIM(MID(SUBSTITUTE(SUBSTITUTE(SUBSTITUTE(UPPER(Tasks[[#This Row],[_Predecessors]]),";",",")," ",""),",",REPT(" ",99)),1,99)))</f>
        <v/>
      </c>
      <c r="CO156" s="42" t="str">
        <f aca="false">IF(Tasks[[#This Row],[_Pred1Text]]="","",IFERROR(VALUE(LEFT(Tasks[[#This Row],[_Pred1Text]],MIN(FIND("F",Tasks[[#This Row],[_Pred1Text]]&amp;"F"),FIND("S",Tasks[[#This Row],[_Pred1Text]]&amp;"S"),FIND("+",Tasks[[#This Row],[_Pred1Text]]&amp;"+"),FIND("-",Tasks[[#This Row],[_Pred1Text]]&amp;"-"))-1)),""))</f>
        <v/>
      </c>
      <c r="CP1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6" s="42" t="str">
        <f aca="false">IF(Tasks[[#This Row],[_Pred1Text]]="","",TRIM(MID(SUBSTITUTE(SUBSTITUTE(SUBSTITUTE(UPPER(Tasks[[#This Row],[_Predecessors]]),";",",")," ",""),",",REPT(" ",99)),100,99)))</f>
        <v/>
      </c>
      <c r="CS156" s="42" t="str">
        <f aca="false">IF(Tasks[[#This Row],[_Pred2Text]]="","",IFERROR(VALUE(LEFT(Tasks[[#This Row],[_Pred2Text]],MIN(FIND("F",Tasks[[#This Row],[_Pred2Text]]&amp;"F"),FIND("S",Tasks[[#This Row],[_Pred2Text]]&amp;"S"),FIND("+",Tasks[[#This Row],[_Pred2Text]]&amp;"+"),FIND("-",Tasks[[#This Row],[_Pred2Text]]&amp;"-"))-1)),""))</f>
        <v/>
      </c>
      <c r="CT1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6" s="42" t="str">
        <f aca="false">IF(Tasks[[#This Row],[_Pred2Text]]="","",TRIM(MID(SUBSTITUTE(SUBSTITUTE(SUBSTITUTE(UPPER(Tasks[[#This Row],[_Predecessors]]),";",",")," ",""),",",REPT(" ",99)),199,99)))</f>
        <v/>
      </c>
      <c r="CW156" s="42" t="str">
        <f aca="false">IF(Tasks[[#This Row],[_Pred3Text]]="","",IFERROR(VALUE(LEFT(Tasks[[#This Row],[_Pred3Text]],MIN(FIND("F",Tasks[[#This Row],[_Pred3Text]]&amp;"F"),FIND("S",Tasks[[#This Row],[_Pred3Text]]&amp;"S"),FIND("+",Tasks[[#This Row],[_Pred3Text]]&amp;"+"),FIND("-",Tasks[[#This Row],[_Pred3Text]]&amp;"-"))-1)),""))</f>
        <v/>
      </c>
      <c r="CX1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6" s="42" t="str">
        <f aca="false">IF(Tasks[[#This Row],[_Pred3Text]]="","",TRIM(MID(SUBSTITUTE(SUBSTITUTE(SUBSTITUTE(UPPER(Tasks[[#This Row],[_Predecessors]]),";",",")," ",""),",",REPT(" ",99)),298,99)))</f>
        <v/>
      </c>
      <c r="DA156" s="42" t="str">
        <f aca="false">IF(Tasks[[#This Row],[_Pred4Text]]="","",IFERROR(VALUE(LEFT(Tasks[[#This Row],[_Pred4Text]],MIN(FIND("F",Tasks[[#This Row],[_Pred4Text]]&amp;"F"),FIND("S",Tasks[[#This Row],[_Pred4Text]]&amp;"S"),FIND("+",Tasks[[#This Row],[_Pred4Text]]&amp;"+"),FIND("-",Tasks[[#This Row],[_Pred4Text]]&amp;"-"))-1)),""))</f>
        <v/>
      </c>
      <c r="DB1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6" s="42" t="str">
        <f aca="false">IF(OR(Tasks[[#This Row],[Task Name]]="",Tasks[[#This Row],[_Resources]]=""),"",TRIM(MID(SUBSTITUTE(Tasks[[#This Row],[_Resources]],",",REPT(" ",99)),1,99)))</f>
        <v/>
      </c>
      <c r="DE156" s="42" t="str">
        <f aca="false">IF(Tasks[[#This Row],[_Res1Text]]="","",TRIM(MID(SUBSTITUTE(Tasks[[#This Row],[_Resources]],",",REPT(" ",99)),100,99)))</f>
        <v/>
      </c>
      <c r="DF156" s="42" t="str">
        <f aca="false">IF(Tasks[[#This Row],[_Res2Text]]="","",TRIM(MID(SUBSTITUTE(Tasks[[#This Row],[_Resources]],",",REPT(" ",99)),199,99)))</f>
        <v/>
      </c>
      <c r="DG156" s="42" t="str">
        <f aca="false">IF(Tasks[[#This Row],[_Res3Text]]="","",TRIM(MID(SUBSTITUTE(Tasks[[#This Row],[_Resources]],",",REPT(" ",99)),298,99)))</f>
        <v/>
      </c>
      <c r="DH156" s="42" t="n">
        <f aca="false">IF(Tasks[[#This Row],[_Res1Text]]="",0,IFERROR(MATCH(TRIM(LEFT(Tasks[[#This Row],[_Res1Text]],FIND("[",Tasks[[#This Row],[_Res1Text]]&amp;"[")-1)),res_Name,0),IFERROR(MATCH(TRIM(LEFT(Tasks[[#This Row],[_Res1Text]],FIND("[",Tasks[[#This Row],[_Res1Text]]&amp;"[")-1)),res_Initials,0),0)))</f>
        <v>0</v>
      </c>
      <c r="DI156" s="42" t="n">
        <f aca="false">IF(Tasks[[#This Row],[_Res2Text]]="",0,IFERROR(MATCH(TRIM(LEFT(Tasks[[#This Row],[_Res2Text]],FIND("[",Tasks[[#This Row],[_Res2Text]]&amp;"[")-1)),res_Name,0),IFERROR(MATCH(TRIM(LEFT(Tasks[[#This Row],[_Res2Text]],FIND("[",Tasks[[#This Row],[_Res2Text]]&amp;"[")-1)),res_Initials,0),0)))</f>
        <v>0</v>
      </c>
      <c r="DJ156" s="42" t="n">
        <f aca="false">IF(Tasks[[#This Row],[_Res3Text]]="",0,IFERROR(MATCH(TRIM(LEFT(Tasks[[#This Row],[_Res3Text]],FIND("[",Tasks[[#This Row],[_Res3Text]]&amp;"[")-1)),res_Name,0),IFERROR(MATCH(TRIM(LEFT(Tasks[[#This Row],[_Res3Text]],FIND("[",Tasks[[#This Row],[_Res3Text]]&amp;"[")-1)),res_Initials,0),0)))</f>
        <v>0</v>
      </c>
      <c r="DK156" s="42" t="n">
        <f aca="false">IF(Tasks[[#This Row],[_Res4Text]]="",0,IFERROR(MATCH(TRIM(LEFT(Tasks[[#This Row],[_Res4Text]],FIND("[",Tasks[[#This Row],[_Res4Text]]&amp;"[")-1)),res_Name,0),IFERROR(MATCH(TRIM(LEFT(Tasks[[#This Row],[_Res4Text]],FIND("[",Tasks[[#This Row],[_Res4Text]]&amp;"[")-1)),res_Initials,0),0)))</f>
        <v>0</v>
      </c>
      <c r="DL156" s="42" t="str">
        <f aca="false">IF(Tasks[[#This Row],[_Res1Text]]="","",IF(Tasks[[#This Row],[_Res1Row]]&gt;0,INDEX(res_Name,Tasks[[#This Row],[_Res1Row]]),TRIM(LEFT(Tasks[[#This Row],[_Res1Text]],FIND("[",Tasks[[#This Row],[_Res1Text]]&amp;"[")-1))))</f>
        <v/>
      </c>
      <c r="DM1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6" s="42" t="n">
        <f aca="false">IF(NOT(Tasks[[#This Row],[_IsLeaf]]=1),0,(Tasks[[#This Row],[_Resource1]]&lt;&gt;"")+(Tasks[[#This Row],[_Res2]]&lt;&gt;"")+(Tasks[[#This Row],[_Res3]]&lt;&gt;"")+(Tasks[[#This Row],[_Res4]]&lt;&gt;""))</f>
        <v>0</v>
      </c>
      <c r="DO156" s="42" t="str">
        <f aca="false">IF(Tasks[[#This Row],[_Res2Text]]="","",IF(Tasks[[#This Row],[_Res2Row]]&gt;0,INDEX(res_Name,Tasks[[#This Row],[_Res2Row]]),TRIM(LEFT(Tasks[[#This Row],[_Res2Text]],FIND("[",Tasks[[#This Row],[_Res2Text]]&amp;"[")-1))))</f>
        <v/>
      </c>
      <c r="DP1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6" s="42" t="n">
        <f aca="false">IF(OR(NOT(Tasks[[#This Row],[_IsLeaf]]=1),Tasks[[#This Row],[_Res2Row]]=0),0,N(Tasks[[#This Row],[_Days]])*HoursPerDay*IF(Tasks[[#This Row],[_Res2Units]]="",DefaultUnits,Tasks[[#This Row],[_Res2Units]]))</f>
        <v>0</v>
      </c>
      <c r="DR156" s="42" t="n">
        <f aca="false">IF(AND(AND(Tasks[[#This Row],[_IsLeaf]]=1,Tasks[[#This Row],[_LeafTotalWork]]&gt;0),Tasks[[#This Row],[_Res2Work]]&gt;0),Tasks[[#This Row],[_Res2Work]]/(Tasks[[#This Row],[_FinishWorkday]]-Tasks[[#This Row],[_StartWorkday]]+1),0)</f>
        <v>0</v>
      </c>
      <c r="DS156" s="42" t="n">
        <f aca="false">Tasks[[#This Row],[_Res2WorkPerWD]]*MAX(0,Tasks[[#This Row],[_StartWorkday]]-1)</f>
        <v>0</v>
      </c>
      <c r="DT156" s="42" t="n">
        <f aca="false">Tasks[[#This Row],[_Res2Work]]*Tasks[[#This Row],[_LeafProgress]]</f>
        <v>0</v>
      </c>
      <c r="DU156" s="42" t="str">
        <f aca="false">IF(Tasks[[#This Row],[_Res3Text]]="","",IF(Tasks[[#This Row],[_Res3Row]]&gt;0,INDEX(res_Name,Tasks[[#This Row],[_Res3Row]]),TRIM(LEFT(Tasks[[#This Row],[_Res3Text]],FIND("[",Tasks[[#This Row],[_Res3Text]]&amp;"[")-1))))</f>
        <v/>
      </c>
      <c r="DV1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6" s="42" t="n">
        <f aca="false">IF(OR(NOT(Tasks[[#This Row],[_IsLeaf]]=1),Tasks[[#This Row],[_Res3Row]]=0),0,N(Tasks[[#This Row],[_Days]])*HoursPerDay*IF(Tasks[[#This Row],[_Res3Units]]="",DefaultUnits,Tasks[[#This Row],[_Res3Units]]))</f>
        <v>0</v>
      </c>
      <c r="DX156" s="42" t="n">
        <f aca="false">IF(AND(AND(Tasks[[#This Row],[_IsLeaf]]=1,Tasks[[#This Row],[_LeafTotalWork]]&gt;0),Tasks[[#This Row],[_Res3Work]]&gt;0),Tasks[[#This Row],[_Res3Work]]/(Tasks[[#This Row],[_FinishWorkday]]-Tasks[[#This Row],[_StartWorkday]]+1),0)</f>
        <v>0</v>
      </c>
      <c r="DY156" s="42" t="n">
        <f aca="false">Tasks[[#This Row],[_Res3WorkPerWD]]*MAX(0,Tasks[[#This Row],[_StartWorkday]]-1)</f>
        <v>0</v>
      </c>
      <c r="DZ156" s="42" t="n">
        <f aca="false">Tasks[[#This Row],[_Res3Work]]*Tasks[[#This Row],[_LeafProgress]]</f>
        <v>0</v>
      </c>
      <c r="EA156" s="42" t="str">
        <f aca="false">IF(Tasks[[#This Row],[_Res4Text]]="","",IF(Tasks[[#This Row],[_Res4Row]]&gt;0,INDEX(res_Name,Tasks[[#This Row],[_Res4Row]]),TRIM(LEFT(Tasks[[#This Row],[_Res4Text]],FIND("[",Tasks[[#This Row],[_Res4Text]]&amp;"[")-1))))</f>
        <v/>
      </c>
      <c r="EB1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6" s="42" t="n">
        <f aca="false">IF(OR(NOT(Tasks[[#This Row],[_IsLeaf]]=1),Tasks[[#This Row],[_Res4Row]]=0),0,N(Tasks[[#This Row],[_Days]])*HoursPerDay*IF(Tasks[[#This Row],[_Res4Units]]="",DefaultUnits,Tasks[[#This Row],[_Res4Units]]))</f>
        <v>0</v>
      </c>
      <c r="ED156" s="42" t="n">
        <f aca="false">IF(AND(AND(Tasks[[#This Row],[_IsLeaf]]=1,Tasks[[#This Row],[_LeafTotalWork]]&gt;0),Tasks[[#This Row],[_Res4Work]]&gt;0),Tasks[[#This Row],[_Res4Work]]/(Tasks[[#This Row],[_FinishWorkday]]-Tasks[[#This Row],[_StartWorkday]]+1),0)</f>
        <v>0</v>
      </c>
      <c r="EE156" s="42" t="n">
        <f aca="false">Tasks[[#This Row],[_Res4WorkPerWD]]*MAX(0,Tasks[[#This Row],[_StartWorkday]]-1)</f>
        <v>0</v>
      </c>
      <c r="EF156" s="42" t="n">
        <f aca="false">Tasks[[#This Row],[_Res4Work]]*Tasks[[#This Row],[_LeafProgress]]</f>
        <v>0</v>
      </c>
      <c r="EG156" s="42" t="n">
        <f aca="false">IF(ISNUMBER(Tasks[[#This Row],[% Complete]]),Tasks[[#This Row],[% Complete]],IF(Tasks[[#This Row],[Stage]]="",0,IFERROR(INDEX(stg_Pct,MATCH(Tasks[[#This Row],[Stage]],stg_Name,0)),0)))</f>
        <v>0</v>
      </c>
      <c r="EH156" s="42" t="n">
        <f aca="false">IF(NOT(Tasks[[#This Row],[_IsLeaf]]=1),0,IF(N(Tasks[[#This Row],[Actual Finish]])&gt;0,1,MIN(1,Tasks[[#This Row],[_Pct]])))</f>
        <v>0</v>
      </c>
      <c r="EI156" s="42" t="n">
        <f aca="false">IF(OR(NOT(Tasks[[#This Row],[_IsLeaf]]=1),Tasks[[#This Row],[_Res1Row]]=0),0,N(Tasks[[#This Row],[_Days]])*HoursPerDay*IF(Tasks[[#This Row],[_Units1]]="",DefaultUnits,Tasks[[#This Row],[_Units1]]))</f>
        <v>0</v>
      </c>
      <c r="EJ156" s="42" t="n">
        <f aca="false">Tasks[[#This Row],[_LeafWork]]+Tasks[[#This Row],[_Res2Work]]+Tasks[[#This Row],[_Res3Work]]+Tasks[[#This Row],[_Res4Work]]</f>
        <v>0</v>
      </c>
      <c r="EK1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6" s="42" t="n">
        <f aca="false">IF(NOT(Tasks[[#This Row],[_IsLeaf]]=1),0,MAX(_xlfn.MAXIFS(Tasks[_Row],Tasks[_Pred1UID],Tasks[[#This Row],[UID]]),_xlfn.MAXIFS(Tasks[_Row],Tasks[_Pred2UID],Tasks[[#This Row],[UID]]),_xlfn.MAXIFS(Tasks[_Row],Tasks[_Pred3UID],Tasks[[#This Row],[UID]]),_xlfn.MAXIFS(Tasks[_Row],Tasks[_Pred4UID],Tasks[[#This Row],[UID]])))</f>
        <v>0</v>
      </c>
      <c r="ET1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6" s="89" t="str">
        <f aca="false">IF(NOT(Tasks[[#This Row],[_IsLeaf]]=1),"",IF(N(Tasks[[#This Row],[_Days]])&lt;=0,Tasks[[#This Row],[_LeafLateFinish]],WORKDAY.INTL(Tasks[[#This Row],[_LeafLateFinish]],-(Tasks[[#This Row],[_Days]]-1),WorkWeek,Holidays)))</f>
        <v/>
      </c>
      <c r="EW1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6" s="88" t="b">
        <f aca="false">AND(Tasks[[#This Row],[_IsLeaf]]=1,Tasks[[#This Row],[_LeafProgress]]&lt;1,N(Tasks[[#This Row],[_LeafTotalSlack]])&lt;=CriticalSlackDays)</f>
        <v>0</v>
      </c>
      <c r="EY156" s="42" t="n">
        <f aca="false">IF(AND(Tasks[[#This Row],[_IsLeaf]]=1,Tasks[[#This Row],[_ConstraintCode]]=1,Tasks[[#This Row],[Mode]]&lt;&gt;"Manual",N(Tasks[[#This Row],[Actual Start]])=0),MAX(0,N(Tasks[[#This Row],[Free Slack]])),0)</f>
        <v>0</v>
      </c>
      <c r="EZ156" s="89" t="str">
        <f aca="false">IF(NOT(Tasks[[#This Row],[_IsLeaf]]=1),"",IF(Tasks[[#This Row],[_AlapShift]]=0,Tasks[[#This Row],[_LeafCalcStart]],WORKDAY.INTL(Tasks[[#This Row],[_LeafCalcStart]],Tasks[[#This Row],[_AlapShift]],WorkWeek,Holidays)))</f>
        <v/>
      </c>
      <c r="FA156" s="89" t="str">
        <f aca="false">IF(NOT(Tasks[[#This Row],[_IsLeaf]]=1),"",IF(Tasks[[#This Row],[_AlapShift]]=0,Tasks[[#This Row],[_LeafCalcFinish]],WORKDAY.INTL(Tasks[[#This Row],[_LeafCalcFinish]],Tasks[[#This Row],[_AlapShift]],WorkWeek,Holidays)))</f>
        <v/>
      </c>
      <c r="FB156" s="89" t="str">
        <f aca="false">IF(NOT(Tasks[[#This Row],[_IsLeaf]]=1),"",IF(Tasks[[#This Row],[_AlapShift]]=0,Tasks[[#This Row],[_LeafFcstStart]],WORKDAY.INTL(Tasks[[#This Row],[_LeafFcstStart]],Tasks[[#This Row],[_AlapShift]],WorkWeek,Holidays)))</f>
        <v/>
      </c>
      <c r="FC156" s="89" t="str">
        <f aca="false">IF(NOT(Tasks[[#This Row],[_IsLeaf]]=1),"",IF(Tasks[[#This Row],[_AlapShift]]=0,Tasks[[#This Row],[_LeafFcstFinish]],WORKDAY.INTL(Tasks[[#This Row],[_LeafFcstFinish]],Tasks[[#This Row],[_AlapShift]],WorkWeek,Holidays)))</f>
        <v/>
      </c>
      <c r="FD156" s="89" t="str">
        <f aca="false">IF(Tasks[[#This Row],[Task Name]]="","",IF(Tasks[[#This Row],[_IsSummary]],MIN(INDEX(Tasks[_ShownCalcStart],Tasks[[#This Row],[_Row]]+1):INDEX(Tasks[_ShownCalcStart],Tasks[[#This Row],[_Row]]+Tasks[[#This Row],[_Descendants]])),Tasks[[#This Row],[_ShownCalcStart]]))</f>
        <v/>
      </c>
      <c r="FE156" s="89" t="str">
        <f aca="false">IF(Tasks[[#This Row],[Task Name]]="","",IF(Tasks[[#This Row],[_IsSummary]],MAX(INDEX(Tasks[_ShownCalcFinish],Tasks[[#This Row],[_Row]]+1):INDEX(Tasks[_ShownCalcFinish],Tasks[[#This Row],[_Row]]+Tasks[[#This Row],[_Descendants]])),Tasks[[#This Row],[_ShownCalcFinish]]))</f>
        <v/>
      </c>
      <c r="FF1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6" s="42" t="n">
        <f aca="false">IF(AND(Tasks[[#This Row],[_IsLeaf]]=1,Tasks[[#This Row],[_LeafTotalWork]]&gt;0),NETWORKDAYS.INTL(ProjectStart,Tasks[[#This Row],[_ShownFcstStart]],WorkWeek,Holidays),0)</f>
        <v>0</v>
      </c>
      <c r="FS156" s="42" t="n">
        <f aca="false">IF(AND(Tasks[[#This Row],[_IsLeaf]]=1,Tasks[[#This Row],[_LeafTotalWork]]&gt;0),MAX(Tasks[[#This Row],[_StartWorkday]],NETWORKDAYS.INTL(ProjectStart,Tasks[[#This Row],[_ShownFcstFinish]],WorkWeek,Holidays)),0)</f>
        <v>0</v>
      </c>
      <c r="FT156" s="42" t="n">
        <f aca="false">IF(AND(Tasks[[#This Row],[_IsLeaf]]=1,Tasks[[#This Row],[_LeafTotalWork]]&gt;0),Tasks[[#This Row],[_LeafWork]]/(Tasks[[#This Row],[_FinishWorkday]]-Tasks[[#This Row],[_StartWorkday]]+1),0)</f>
        <v>0</v>
      </c>
      <c r="FU156" s="42" t="n">
        <f aca="false">Tasks[[#This Row],[_WorkPerWorkday]]*(Tasks[[#This Row],[_StartWorkday]]-1)</f>
        <v>-0</v>
      </c>
      <c r="FV156" s="42" t="n">
        <f aca="false">IF(Tasks[[#This Row],[_IsLeaf]]=1,MAX(N(Tasks[[#This Row],[_Days]]),0.1),0)</f>
        <v>0</v>
      </c>
      <c r="FW156" s="42" t="n">
        <f aca="false">Tasks[[#This Row],[_WeightDur]]*Tasks[[#This Row],[_LeafProgress]]</f>
        <v>0</v>
      </c>
      <c r="FX156" s="42" t="n">
        <f aca="false">Tasks[[#This Row],[_WeightDur]]*Tasks[[#This Row],[_PlannedPct]]</f>
        <v>0</v>
      </c>
      <c r="FY1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6" s="42" t="str">
        <f aca="false">IF(AND(Tasks[[#This Row],[_IsLeaf]]=1,N(Tasks[[#This Row],[_Days]])=0,Tasks[[#This Row],[_LeafProgress]]&lt;1),Tasks[[#This Row],[_ShownFcstFinish]]+Tasks[[#This Row],[_Row]]/100000,"")</f>
        <v/>
      </c>
      <c r="GA1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6" s="42" t="str">
        <f aca="false">IF(Tasks[[#This Row],[Task Name]]="","",LEFT(Tasks[[#This Row],[WBS]],FIND(".",Tasks[[#This Row],[WBS]]&amp;".")-1))</f>
        <v/>
      </c>
      <c r="GC156" s="42" t="str">
        <f aca="false">IF(AND(Tasks[[#This Row],[Task Name]]&lt;&gt;"",Tasks[[#This Row],[_Level]]=1),Tasks[[#This Row],[_Row]],"")</f>
        <v/>
      </c>
      <c r="GD156" s="42" t="str">
        <f aca="false">IF(AND(Tasks[[#This Row],[_IsLeaf]]=1,N(Tasks[[#This Row],[_Days]])=0),Tasks[[#This Row],[Planned Finish]]+Tasks[[#This Row],[_Row]]/100000,"")</f>
        <v/>
      </c>
      <c r="GE156" s="42" t="str">
        <f aca="false">IF(AND(Tasks[[#This Row],[_IsLeaf]]=1,Tasks[[#This Row],[_LeafProgress]]&lt;1,OR(N(Tasks[[#This Row],[Finish Var]])&gt;0,Tasks[[#This Row],[Status]]="Late Start")),MAX(0,Tasks[[#This Row],[Finish Var]])+1-Tasks[[#This Row],[_Row]]/1000000,"")</f>
        <v/>
      </c>
      <c r="GF156" s="42" t="str">
        <f aca="false">IF(AND(Tasks[[#This Row],[_IsLeaf]]=1,N(Tasks[[#This Row],[Actual Start]])=0,Tasks[[#This Row],[_ShownFcstStart]]&gt;=StatusDate,Tasks[[#This Row],[_ShownFcstStart]]&lt;=LookaheadEnd),Tasks[[#This Row],[_ShownFcstStart]]+Tasks[[#This Row],[_Row]]/100000,"")</f>
        <v/>
      </c>
      <c r="GG156" s="42" t="str">
        <f aca="false">IF(AND(Tasks[[#This Row],[_IsLeaf]]=1,Tasks[[#This Row],[_LeafProgress]]&lt;1,Tasks[[#This Row],[_ShownFcstFinish]]&gt;=StatusDate,Tasks[[#This Row],[_ShownFcstFinish]]&lt;=LookaheadEnd),Tasks[[#This Row],[_ShownFcstFinish]]+Tasks[[#This Row],[_Row]]/100000,"")</f>
        <v/>
      </c>
      <c r="GH156" s="42" t="str">
        <f aca="false">IF(Tasks[[#This Row],[_LeafCritical]],Tasks[[#This Row],[_ShownFcstStart]]+Tasks[[#This Row],[_Row]]/100000,"")</f>
        <v/>
      </c>
      <c r="GI156" s="42" t="n">
        <f aca="false">Tasks[[#This Row],[_LeafWork]]*Tasks[[#This Row],[_LeafProgress]]</f>
        <v>0</v>
      </c>
      <c r="GJ156" s="89" t="str">
        <f aca="false">IF(AND(Tasks[[#This Row],[_IsLeaf]]=1,Tasks[[#This Row],[_LeafProgress]]&gt;=1),IF(N(Tasks[[#This Row],[Actual Finish]])&gt;0,Tasks[[#This Row],[Actual Finish]],Tasks[[#This Row],[_ShownFcstFinish]]),"")</f>
        <v/>
      </c>
      <c r="GK156" s="42" t="n">
        <f aca="false">IF(Tasks[[#This Row],[_IsLeaf]]=1,N(Tasks[[#This Row],[Story Points]]),0)</f>
        <v>0</v>
      </c>
      <c r="GL156" s="42" t="str">
        <f aca="false">""</f>
        <v/>
      </c>
      <c r="GM156" s="88" t="b">
        <f aca="false">IF(Tasks[[#This Row],[Task Name]]="",FALSE(),AND(Tasks[[#This Row],[_IsLeaf]]=1,N(Tasks[[#This Row],[_Days]])=0))</f>
        <v>0</v>
      </c>
      <c r="GN156" s="89" t="n">
        <f aca="false">IF(Tasks[[#This Row],[Task Name]]="",0,IF(AND(Tasks[[#This Row],[_IsLeaf]]=1,NOT(Tasks[[#This Row],[_IsMilestone]]),N(Tasks[[#This Row],[Progress]])&gt;0),Tasks[[#This Row],[Start]],0))</f>
        <v>0</v>
      </c>
      <c r="GO156" s="89" t="n">
        <f aca="false">IF(Tasks[[#This Row],[_DoneFrom]]=0,0,IF(Tasks[[#This Row],[Progress]]&gt;=1,Tasks[[#This Row],[Finish]],MAX(Tasks[[#This Row],[_DoneFrom]],Tasks[[#This Row],[Start]]+ROUND((Tasks[[#This Row],[Finish]]-Tasks[[#This Row],[Start]]+1)*Tasks[[#This Row],[Progress]],0)-1)))</f>
        <v>0</v>
      </c>
      <c r="GP156" s="89" t="n">
        <f aca="false">IF(Tasks[[#This Row],[Task Name]]="",0,IF(OR(NOT(Tasks[[#This Row],[_IsLeaf]]=1),Tasks[[#This Row],[_IsMilestone]],N(Tasks[[#This Row],[Progress]])&gt;=1),0,IF(Tasks[[#This Row],[_DoneTo]]&gt;0,Tasks[[#This Row],[_DoneTo]]+1,Tasks[[#This Row],[Start]])))</f>
        <v>0</v>
      </c>
      <c r="GQ156" s="89" t="n">
        <f aca="false">IF(Tasks[[#This Row],[_RemFrom]]=0,0,Tasks[[#This Row],[Finish]])</f>
        <v>0</v>
      </c>
      <c r="GR156" s="88" t="b">
        <f aca="false">IF(Tasks[[#This Row],[Task Name]]="",FALSE(),OR(NOT(BaselineSet),N(Tasks[[#This Row],[Baseline Start]])&gt;0))</f>
        <v>0</v>
      </c>
      <c r="GS1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6" s="90" t="str">
        <f aca="false">IF(Tasks[[#This Row],[_IsLeaf]]=1,Tasks[[#This Row],[_Row]],"")</f>
        <v/>
      </c>
      <c r="GW156" s="90" t="str">
        <f aca="false">IFERROR(INDEX(Tasks[UID],SMALL(Tasks[_PickKey],Tasks[[#This Row],[_Row]]))&amp;" "&amp;INDEX(Tasks[Task Name],SMALL(Tasks[_PickKey],Tasks[[#This Row],[_Row]])),"")</f>
        <v/>
      </c>
      <c r="GX156" s="42" t="str">
        <f aca="false">IF(Tasks[[#This Row],[Task Name]]="","",IF(Tasks[[#This Row],[_IsSummary]],NETWORKDAYS.INTL(Tasks[[#This Row],[Start]],Tasks[[#This Row],[Finish]],WorkWeek,Holidays),N(Tasks[[#This Row],[_Days]])))</f>
        <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3"/>
      <c r="U157" s="23"/>
      <c r="V157" s="83"/>
      <c r="W157" s="23"/>
      <c r="X157" s="83"/>
      <c r="Y157" s="23"/>
      <c r="Z157" s="83"/>
      <c r="AA157" s="23"/>
      <c r="AB157" s="23"/>
      <c r="AC157" s="7"/>
      <c r="AD157" s="7"/>
      <c r="AE157" s="62" t="str">
        <f aca="false">IF(Tasks[[#This Row],[Task Name]]="","",IF(Tasks[[#This Row],[_IsSummary]],MIN(INDEX(Tasks[_ShownFcstStart],Tasks[[#This Row],[_Row]]+1):INDEX(Tasks[_ShownFcstStart],Tasks[[#This Row],[_Row]]+Tasks[[#This Row],[_Descendants]])),Tasks[[#This Row],[_ShownFcstStart]]))</f>
        <v/>
      </c>
      <c r="AF157" s="62"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7" s="7"/>
      <c r="AK157" s="22"/>
      <c r="AL157" s="23"/>
      <c r="AM157" s="7"/>
      <c r="AN157" s="46"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2" t="str">
        <f aca="false">IF(Tasks[[#This Row],[Task Name]]="","",IF(N(Tasks[[#This Row],[Baseline Start]])&gt;0,Tasks[[#This Row],[Baseline Start]],Tasks[[#This Row],[_CalcStart]]))</f>
        <v/>
      </c>
      <c r="AR157" s="62" t="str">
        <f aca="false">IF(Tasks[[#This Row],[Task Name]]="","",IF(N(Tasks[[#This Row],[Baseline Finish]])&gt;0,Tasks[[#This Row],[Baseline Finish]],Tasks[[#This Row],[_CalcFinish]]))</f>
        <v/>
      </c>
      <c r="AS157" s="46" t="str">
        <f aca="false">IF(Tasks[[#This Row],[Task Name]]="","",IF(Tasks[[#This Row],[Start]]&gt;=Tasks[[#This Row],[Planned Start]],NETWORKDAYS.INTL(Tasks[[#This Row],[Planned Start]],Tasks[[#This Row],[Start]],WorkWeek,Holidays)-1,1-NETWORKDAYS.INTL(Tasks[[#This Row],[Start]],Tasks[[#This Row],[Planned Start]],WorkWeek,Holidays)))</f>
        <v/>
      </c>
      <c r="AT157" s="62" t="str">
        <f aca="false">IF(Tasks[[#This Row],[Task Name]]="","",IF(Tasks[[#This Row],[_IsSummary]],MIN(INDEX(Tasks[_LeafLateStart],Tasks[[#This Row],[_Row]]+1):INDEX(Tasks[_LeafLateStart],Tasks[[#This Row],[_Row]]+Tasks[[#This Row],[_Descendants]])),Tasks[[#This Row],[_LeafLateStart]]))</f>
        <v/>
      </c>
      <c r="AU157" s="62" t="str">
        <f aca="false">IF(Tasks[[#This Row],[Task Name]]="","",IF(Tasks[[#This Row],[_IsSummary]],MAX(INDEX(Tasks[_LeafLateFinish],Tasks[[#This Row],[_Row]]+1):INDEX(Tasks[_LeafLateFinish],Tasks[[#This Row],[_Row]]+Tasks[[#This Row],[_Descendants]])),Tasks[[#This Row],[_LeafLateFinish]]))</f>
        <v/>
      </c>
      <c r="AV157" s="46"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4"/>
      <c r="BA1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5"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6"/>
      <c r="BJ157" s="22"/>
      <c r="BK157" s="46" t="str">
        <f aca="false">IF(OR(Tasks[[#This Row],[Task Name]]="",Tasks[[#This Row],[Baseline Duration]]=""),"",Tasks[[#This Row],[_SpanDays]]-N(Tasks[[#This Row],[Baseline Duration]]))</f>
        <v/>
      </c>
      <c r="BL157" s="85" t="str">
        <f aca="false">IF(OR(Tasks[[#This Row],[Task Name]]="",Tasks[[#This Row],[Baseline Work]]=""),"",Tasks[[#This Row],[Work]]-N(Tasks[[#This Row],[Baseline Work]]))</f>
        <v/>
      </c>
      <c r="BM157" s="62" t="str">
        <f aca="false">IF(Tasks[[#This Row],[Task Name]]="","",IF(OR(TakeBaseline="Yes",N(Tasks[[#This Row],[Baseline Start]])=0),Tasks[[#This Row],[Start]],Tasks[[#This Row],[Baseline Start]]))</f>
        <v/>
      </c>
      <c r="BN157" s="62"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5" t="str">
        <f aca="false">IF(Tasks[[#This Row],[Task Name]]="","",IF(OR(TakeBaseline="Yes",N(Tasks[[#This Row],[Baseline Work]])=0),Tasks[[#This Row],[Work]],Tasks[[#This Row],[Baseline Work]]))</f>
        <v/>
      </c>
      <c r="BQ157" s="7"/>
      <c r="BR157" s="7"/>
      <c r="BS157" s="22"/>
      <c r="BT157" s="87"/>
      <c r="BU157" s="42" t="str">
        <f aca="false">IF(Tasks[[#This Row],[Task Name]]="","",MAX(1,N(Tasks[[#This Row],[Level]])))</f>
        <v/>
      </c>
      <c r="BV157" s="42" t="n">
        <f aca="false">ROW()-ROW(Tasks[[#Headers],[ID]])</f>
        <v>152</v>
      </c>
      <c r="BW157" s="42" t="n">
        <f aca="false">IF(OR(Tasks[[#This Row],[Task Name]]="",Tasks[[#This Row],[_Level]]&lt;=1),0,IFERROR(LOOKUP(2,1/(Tasks[[#Headers],[_Level]]:Tasks[[#This Row],[_Level]]=Tasks[[#This Row],[_Level]]-1),ROW(Tasks[[#Headers],[_Level]]:Tasks[[#This Row],[_Level]])),0))</f>
        <v>0</v>
      </c>
      <c r="BX157" s="42" t="n">
        <f aca="false">IFERROR(N(INDEX(Tasks[_Level],Tasks[[#This Row],[_Row]]+1)),0)</f>
        <v>0</v>
      </c>
      <c r="BY157" s="88" t="b">
        <f aca="false">AND(Tasks[[#This Row],[Task Name]]&lt;&gt;"",Tasks[[#This Row],[_NextLevel]]&gt;Tasks[[#This Row],[_Level]])</f>
        <v>0</v>
      </c>
      <c r="BZ157" s="42" t="n">
        <f aca="false">IF(Tasks[[#This Row],[_IsSummary]],COUNTIF(Tasks[WBS],Tasks[[#This Row],[WBS]]&amp;".*"),0)</f>
        <v>0</v>
      </c>
      <c r="CA157" s="42" t="n">
        <f aca="false">IF(AND(Tasks[[#This Row],[Task Name]]&lt;&gt;"",NOT(Tasks[[#This Row],[_IsSummary]])),1,0)</f>
        <v>0</v>
      </c>
      <c r="CB157" s="42" t="n">
        <f aca="false">IF(N(Tasks[[#This Row],[_Pred1UID]])=0,0,IFERROR(MATCH(Tasks[[#This Row],[_Pred1UID]],Tasks[UID],0),-1))</f>
        <v>0</v>
      </c>
      <c r="CC157" s="42" t="n">
        <f aca="false">IF(N(Tasks[[#This Row],[_Pred2UID]])=0,0,IFERROR(MATCH(Tasks[[#This Row],[_Pred2UID]],Tasks[UID],0),-1))</f>
        <v>0</v>
      </c>
      <c r="CD157" s="42" t="n">
        <f aca="false">IF(N(Tasks[[#This Row],[_Pred3UID]])=0,0,IFERROR(MATCH(Tasks[[#This Row],[_Pred3UID]],Tasks[UID],0),-1))</f>
        <v>0</v>
      </c>
      <c r="CE157" s="42" t="n">
        <f aca="false">IF(N(Tasks[[#This Row],[_Pred4UID]])=0,0,IFERROR(MATCH(Tasks[[#This Row],[_Pred4UID]],Tasks[UID],0),-1))</f>
        <v>0</v>
      </c>
      <c r="CF1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7" s="89" t="n">
        <f aca="false">IF(OR(Tasks[[#This Row],[_ConstraintCode]]=2,Tasks[[#This Row],[_ConstraintCode]]=3,Tasks[[#This Row],[_ConstraintCode]]=4,Tasks[[#This Row],[_ConstraintCode]]=6),Tasks[[#This Row],[_ConstraintStart]],0)</f>
        <v>0</v>
      </c>
      <c r="CI157" s="89" t="n">
        <f aca="false">IF(OR(Tasks[[#This Row],[_ConstraintCode]]=2,Tasks[[#This Row],[_ConstraintCode]]=3,Tasks[[#This Row],[_ConstraintCode]]=5,Tasks[[#This Row],[_ConstraintCode]]=7),Tasks[[#This Row],[_ConstraintStart]],2958465)</f>
        <v>2958465</v>
      </c>
      <c r="CJ1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7" s="89" t="str">
        <f aca="false">IF(NOT(Tasks[[#This Row],[_IsLeaf]]=1),"",IF(N(Tasks[[#This Row],[_Days]])&lt;=0,Tasks[[#This Row],[_LeafCalcStart]],WORKDAY.INTL(Tasks[[#This Row],[_LeafCalcStart]],Tasks[[#This Row],[_Days]]-1,WorkWeek,Holidays)))</f>
        <v/>
      </c>
      <c r="CL1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7" s="42" t="str">
        <f aca="false">IF(Tasks[[#This Row],[_Predecessors]]="","",TRIM(MID(SUBSTITUTE(SUBSTITUTE(SUBSTITUTE(UPPER(Tasks[[#This Row],[_Predecessors]]),";",",")," ",""),",",REPT(" ",99)),1,99)))</f>
        <v/>
      </c>
      <c r="CO157" s="42" t="str">
        <f aca="false">IF(Tasks[[#This Row],[_Pred1Text]]="","",IFERROR(VALUE(LEFT(Tasks[[#This Row],[_Pred1Text]],MIN(FIND("F",Tasks[[#This Row],[_Pred1Text]]&amp;"F"),FIND("S",Tasks[[#This Row],[_Pred1Text]]&amp;"S"),FIND("+",Tasks[[#This Row],[_Pred1Text]]&amp;"+"),FIND("-",Tasks[[#This Row],[_Pred1Text]]&amp;"-"))-1)),""))</f>
        <v/>
      </c>
      <c r="CP1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7" s="42" t="str">
        <f aca="false">IF(Tasks[[#This Row],[_Pred1Text]]="","",TRIM(MID(SUBSTITUTE(SUBSTITUTE(SUBSTITUTE(UPPER(Tasks[[#This Row],[_Predecessors]]),";",",")," ",""),",",REPT(" ",99)),100,99)))</f>
        <v/>
      </c>
      <c r="CS157" s="42" t="str">
        <f aca="false">IF(Tasks[[#This Row],[_Pred2Text]]="","",IFERROR(VALUE(LEFT(Tasks[[#This Row],[_Pred2Text]],MIN(FIND("F",Tasks[[#This Row],[_Pred2Text]]&amp;"F"),FIND("S",Tasks[[#This Row],[_Pred2Text]]&amp;"S"),FIND("+",Tasks[[#This Row],[_Pred2Text]]&amp;"+"),FIND("-",Tasks[[#This Row],[_Pred2Text]]&amp;"-"))-1)),""))</f>
        <v/>
      </c>
      <c r="CT1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7" s="42" t="str">
        <f aca="false">IF(Tasks[[#This Row],[_Pred2Text]]="","",TRIM(MID(SUBSTITUTE(SUBSTITUTE(SUBSTITUTE(UPPER(Tasks[[#This Row],[_Predecessors]]),";",",")," ",""),",",REPT(" ",99)),199,99)))</f>
        <v/>
      </c>
      <c r="CW157" s="42" t="str">
        <f aca="false">IF(Tasks[[#This Row],[_Pred3Text]]="","",IFERROR(VALUE(LEFT(Tasks[[#This Row],[_Pred3Text]],MIN(FIND("F",Tasks[[#This Row],[_Pred3Text]]&amp;"F"),FIND("S",Tasks[[#This Row],[_Pred3Text]]&amp;"S"),FIND("+",Tasks[[#This Row],[_Pred3Text]]&amp;"+"),FIND("-",Tasks[[#This Row],[_Pred3Text]]&amp;"-"))-1)),""))</f>
        <v/>
      </c>
      <c r="CX1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7" s="42" t="str">
        <f aca="false">IF(Tasks[[#This Row],[_Pred3Text]]="","",TRIM(MID(SUBSTITUTE(SUBSTITUTE(SUBSTITUTE(UPPER(Tasks[[#This Row],[_Predecessors]]),";",",")," ",""),",",REPT(" ",99)),298,99)))</f>
        <v/>
      </c>
      <c r="DA157" s="42" t="str">
        <f aca="false">IF(Tasks[[#This Row],[_Pred4Text]]="","",IFERROR(VALUE(LEFT(Tasks[[#This Row],[_Pred4Text]],MIN(FIND("F",Tasks[[#This Row],[_Pred4Text]]&amp;"F"),FIND("S",Tasks[[#This Row],[_Pred4Text]]&amp;"S"),FIND("+",Tasks[[#This Row],[_Pred4Text]]&amp;"+"),FIND("-",Tasks[[#This Row],[_Pred4Text]]&amp;"-"))-1)),""))</f>
        <v/>
      </c>
      <c r="DB1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7" s="42" t="str">
        <f aca="false">IF(OR(Tasks[[#This Row],[Task Name]]="",Tasks[[#This Row],[_Resources]]=""),"",TRIM(MID(SUBSTITUTE(Tasks[[#This Row],[_Resources]],",",REPT(" ",99)),1,99)))</f>
        <v/>
      </c>
      <c r="DE157" s="42" t="str">
        <f aca="false">IF(Tasks[[#This Row],[_Res1Text]]="","",TRIM(MID(SUBSTITUTE(Tasks[[#This Row],[_Resources]],",",REPT(" ",99)),100,99)))</f>
        <v/>
      </c>
      <c r="DF157" s="42" t="str">
        <f aca="false">IF(Tasks[[#This Row],[_Res2Text]]="","",TRIM(MID(SUBSTITUTE(Tasks[[#This Row],[_Resources]],",",REPT(" ",99)),199,99)))</f>
        <v/>
      </c>
      <c r="DG157" s="42" t="str">
        <f aca="false">IF(Tasks[[#This Row],[_Res3Text]]="","",TRIM(MID(SUBSTITUTE(Tasks[[#This Row],[_Resources]],",",REPT(" ",99)),298,99)))</f>
        <v/>
      </c>
      <c r="DH157" s="42" t="n">
        <f aca="false">IF(Tasks[[#This Row],[_Res1Text]]="",0,IFERROR(MATCH(TRIM(LEFT(Tasks[[#This Row],[_Res1Text]],FIND("[",Tasks[[#This Row],[_Res1Text]]&amp;"[")-1)),res_Name,0),IFERROR(MATCH(TRIM(LEFT(Tasks[[#This Row],[_Res1Text]],FIND("[",Tasks[[#This Row],[_Res1Text]]&amp;"[")-1)),res_Initials,0),0)))</f>
        <v>0</v>
      </c>
      <c r="DI157" s="42" t="n">
        <f aca="false">IF(Tasks[[#This Row],[_Res2Text]]="",0,IFERROR(MATCH(TRIM(LEFT(Tasks[[#This Row],[_Res2Text]],FIND("[",Tasks[[#This Row],[_Res2Text]]&amp;"[")-1)),res_Name,0),IFERROR(MATCH(TRIM(LEFT(Tasks[[#This Row],[_Res2Text]],FIND("[",Tasks[[#This Row],[_Res2Text]]&amp;"[")-1)),res_Initials,0),0)))</f>
        <v>0</v>
      </c>
      <c r="DJ157" s="42" t="n">
        <f aca="false">IF(Tasks[[#This Row],[_Res3Text]]="",0,IFERROR(MATCH(TRIM(LEFT(Tasks[[#This Row],[_Res3Text]],FIND("[",Tasks[[#This Row],[_Res3Text]]&amp;"[")-1)),res_Name,0),IFERROR(MATCH(TRIM(LEFT(Tasks[[#This Row],[_Res3Text]],FIND("[",Tasks[[#This Row],[_Res3Text]]&amp;"[")-1)),res_Initials,0),0)))</f>
        <v>0</v>
      </c>
      <c r="DK157" s="42" t="n">
        <f aca="false">IF(Tasks[[#This Row],[_Res4Text]]="",0,IFERROR(MATCH(TRIM(LEFT(Tasks[[#This Row],[_Res4Text]],FIND("[",Tasks[[#This Row],[_Res4Text]]&amp;"[")-1)),res_Name,0),IFERROR(MATCH(TRIM(LEFT(Tasks[[#This Row],[_Res4Text]],FIND("[",Tasks[[#This Row],[_Res4Text]]&amp;"[")-1)),res_Initials,0),0)))</f>
        <v>0</v>
      </c>
      <c r="DL157" s="42" t="str">
        <f aca="false">IF(Tasks[[#This Row],[_Res1Text]]="","",IF(Tasks[[#This Row],[_Res1Row]]&gt;0,INDEX(res_Name,Tasks[[#This Row],[_Res1Row]]),TRIM(LEFT(Tasks[[#This Row],[_Res1Text]],FIND("[",Tasks[[#This Row],[_Res1Text]]&amp;"[")-1))))</f>
        <v/>
      </c>
      <c r="DM1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7" s="42" t="n">
        <f aca="false">IF(NOT(Tasks[[#This Row],[_IsLeaf]]=1),0,(Tasks[[#This Row],[_Resource1]]&lt;&gt;"")+(Tasks[[#This Row],[_Res2]]&lt;&gt;"")+(Tasks[[#This Row],[_Res3]]&lt;&gt;"")+(Tasks[[#This Row],[_Res4]]&lt;&gt;""))</f>
        <v>0</v>
      </c>
      <c r="DO157" s="42" t="str">
        <f aca="false">IF(Tasks[[#This Row],[_Res2Text]]="","",IF(Tasks[[#This Row],[_Res2Row]]&gt;0,INDEX(res_Name,Tasks[[#This Row],[_Res2Row]]),TRIM(LEFT(Tasks[[#This Row],[_Res2Text]],FIND("[",Tasks[[#This Row],[_Res2Text]]&amp;"[")-1))))</f>
        <v/>
      </c>
      <c r="DP1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7" s="42" t="n">
        <f aca="false">IF(OR(NOT(Tasks[[#This Row],[_IsLeaf]]=1),Tasks[[#This Row],[_Res2Row]]=0),0,N(Tasks[[#This Row],[_Days]])*HoursPerDay*IF(Tasks[[#This Row],[_Res2Units]]="",DefaultUnits,Tasks[[#This Row],[_Res2Units]]))</f>
        <v>0</v>
      </c>
      <c r="DR157" s="42" t="n">
        <f aca="false">IF(AND(AND(Tasks[[#This Row],[_IsLeaf]]=1,Tasks[[#This Row],[_LeafTotalWork]]&gt;0),Tasks[[#This Row],[_Res2Work]]&gt;0),Tasks[[#This Row],[_Res2Work]]/(Tasks[[#This Row],[_FinishWorkday]]-Tasks[[#This Row],[_StartWorkday]]+1),0)</f>
        <v>0</v>
      </c>
      <c r="DS157" s="42" t="n">
        <f aca="false">Tasks[[#This Row],[_Res2WorkPerWD]]*MAX(0,Tasks[[#This Row],[_StartWorkday]]-1)</f>
        <v>0</v>
      </c>
      <c r="DT157" s="42" t="n">
        <f aca="false">Tasks[[#This Row],[_Res2Work]]*Tasks[[#This Row],[_LeafProgress]]</f>
        <v>0</v>
      </c>
      <c r="DU157" s="42" t="str">
        <f aca="false">IF(Tasks[[#This Row],[_Res3Text]]="","",IF(Tasks[[#This Row],[_Res3Row]]&gt;0,INDEX(res_Name,Tasks[[#This Row],[_Res3Row]]),TRIM(LEFT(Tasks[[#This Row],[_Res3Text]],FIND("[",Tasks[[#This Row],[_Res3Text]]&amp;"[")-1))))</f>
        <v/>
      </c>
      <c r="DV1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7" s="42" t="n">
        <f aca="false">IF(OR(NOT(Tasks[[#This Row],[_IsLeaf]]=1),Tasks[[#This Row],[_Res3Row]]=0),0,N(Tasks[[#This Row],[_Days]])*HoursPerDay*IF(Tasks[[#This Row],[_Res3Units]]="",DefaultUnits,Tasks[[#This Row],[_Res3Units]]))</f>
        <v>0</v>
      </c>
      <c r="DX157" s="42" t="n">
        <f aca="false">IF(AND(AND(Tasks[[#This Row],[_IsLeaf]]=1,Tasks[[#This Row],[_LeafTotalWork]]&gt;0),Tasks[[#This Row],[_Res3Work]]&gt;0),Tasks[[#This Row],[_Res3Work]]/(Tasks[[#This Row],[_FinishWorkday]]-Tasks[[#This Row],[_StartWorkday]]+1),0)</f>
        <v>0</v>
      </c>
      <c r="DY157" s="42" t="n">
        <f aca="false">Tasks[[#This Row],[_Res3WorkPerWD]]*MAX(0,Tasks[[#This Row],[_StartWorkday]]-1)</f>
        <v>0</v>
      </c>
      <c r="DZ157" s="42" t="n">
        <f aca="false">Tasks[[#This Row],[_Res3Work]]*Tasks[[#This Row],[_LeafProgress]]</f>
        <v>0</v>
      </c>
      <c r="EA157" s="42" t="str">
        <f aca="false">IF(Tasks[[#This Row],[_Res4Text]]="","",IF(Tasks[[#This Row],[_Res4Row]]&gt;0,INDEX(res_Name,Tasks[[#This Row],[_Res4Row]]),TRIM(LEFT(Tasks[[#This Row],[_Res4Text]],FIND("[",Tasks[[#This Row],[_Res4Text]]&amp;"[")-1))))</f>
        <v/>
      </c>
      <c r="EB1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7" s="42" t="n">
        <f aca="false">IF(OR(NOT(Tasks[[#This Row],[_IsLeaf]]=1),Tasks[[#This Row],[_Res4Row]]=0),0,N(Tasks[[#This Row],[_Days]])*HoursPerDay*IF(Tasks[[#This Row],[_Res4Units]]="",DefaultUnits,Tasks[[#This Row],[_Res4Units]]))</f>
        <v>0</v>
      </c>
      <c r="ED157" s="42" t="n">
        <f aca="false">IF(AND(AND(Tasks[[#This Row],[_IsLeaf]]=1,Tasks[[#This Row],[_LeafTotalWork]]&gt;0),Tasks[[#This Row],[_Res4Work]]&gt;0),Tasks[[#This Row],[_Res4Work]]/(Tasks[[#This Row],[_FinishWorkday]]-Tasks[[#This Row],[_StartWorkday]]+1),0)</f>
        <v>0</v>
      </c>
      <c r="EE157" s="42" t="n">
        <f aca="false">Tasks[[#This Row],[_Res4WorkPerWD]]*MAX(0,Tasks[[#This Row],[_StartWorkday]]-1)</f>
        <v>0</v>
      </c>
      <c r="EF157" s="42" t="n">
        <f aca="false">Tasks[[#This Row],[_Res4Work]]*Tasks[[#This Row],[_LeafProgress]]</f>
        <v>0</v>
      </c>
      <c r="EG157" s="42" t="n">
        <f aca="false">IF(ISNUMBER(Tasks[[#This Row],[% Complete]]),Tasks[[#This Row],[% Complete]],IF(Tasks[[#This Row],[Stage]]="",0,IFERROR(INDEX(stg_Pct,MATCH(Tasks[[#This Row],[Stage]],stg_Name,0)),0)))</f>
        <v>0</v>
      </c>
      <c r="EH157" s="42" t="n">
        <f aca="false">IF(NOT(Tasks[[#This Row],[_IsLeaf]]=1),0,IF(N(Tasks[[#This Row],[Actual Finish]])&gt;0,1,MIN(1,Tasks[[#This Row],[_Pct]])))</f>
        <v>0</v>
      </c>
      <c r="EI157" s="42" t="n">
        <f aca="false">IF(OR(NOT(Tasks[[#This Row],[_IsLeaf]]=1),Tasks[[#This Row],[_Res1Row]]=0),0,N(Tasks[[#This Row],[_Days]])*HoursPerDay*IF(Tasks[[#This Row],[_Units1]]="",DefaultUnits,Tasks[[#This Row],[_Units1]]))</f>
        <v>0</v>
      </c>
      <c r="EJ157" s="42" t="n">
        <f aca="false">Tasks[[#This Row],[_LeafWork]]+Tasks[[#This Row],[_Res2Work]]+Tasks[[#This Row],[_Res3Work]]+Tasks[[#This Row],[_Res4Work]]</f>
        <v>0</v>
      </c>
      <c r="EK1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7" s="42" t="n">
        <f aca="false">IF(NOT(Tasks[[#This Row],[_IsLeaf]]=1),0,MAX(_xlfn.MAXIFS(Tasks[_Row],Tasks[_Pred1UID],Tasks[[#This Row],[UID]]),_xlfn.MAXIFS(Tasks[_Row],Tasks[_Pred2UID],Tasks[[#This Row],[UID]]),_xlfn.MAXIFS(Tasks[_Row],Tasks[_Pred3UID],Tasks[[#This Row],[UID]]),_xlfn.MAXIFS(Tasks[_Row],Tasks[_Pred4UID],Tasks[[#This Row],[UID]])))</f>
        <v>0</v>
      </c>
      <c r="ET1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7" s="89" t="str">
        <f aca="false">IF(NOT(Tasks[[#This Row],[_IsLeaf]]=1),"",IF(N(Tasks[[#This Row],[_Days]])&lt;=0,Tasks[[#This Row],[_LeafLateFinish]],WORKDAY.INTL(Tasks[[#This Row],[_LeafLateFinish]],-(Tasks[[#This Row],[_Days]]-1),WorkWeek,Holidays)))</f>
        <v/>
      </c>
      <c r="EW1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7" s="88" t="b">
        <f aca="false">AND(Tasks[[#This Row],[_IsLeaf]]=1,Tasks[[#This Row],[_LeafProgress]]&lt;1,N(Tasks[[#This Row],[_LeafTotalSlack]])&lt;=CriticalSlackDays)</f>
        <v>0</v>
      </c>
      <c r="EY157" s="42" t="n">
        <f aca="false">IF(AND(Tasks[[#This Row],[_IsLeaf]]=1,Tasks[[#This Row],[_ConstraintCode]]=1,Tasks[[#This Row],[Mode]]&lt;&gt;"Manual",N(Tasks[[#This Row],[Actual Start]])=0),MAX(0,N(Tasks[[#This Row],[Free Slack]])),0)</f>
        <v>0</v>
      </c>
      <c r="EZ157" s="89" t="str">
        <f aca="false">IF(NOT(Tasks[[#This Row],[_IsLeaf]]=1),"",IF(Tasks[[#This Row],[_AlapShift]]=0,Tasks[[#This Row],[_LeafCalcStart]],WORKDAY.INTL(Tasks[[#This Row],[_LeafCalcStart]],Tasks[[#This Row],[_AlapShift]],WorkWeek,Holidays)))</f>
        <v/>
      </c>
      <c r="FA157" s="89" t="str">
        <f aca="false">IF(NOT(Tasks[[#This Row],[_IsLeaf]]=1),"",IF(Tasks[[#This Row],[_AlapShift]]=0,Tasks[[#This Row],[_LeafCalcFinish]],WORKDAY.INTL(Tasks[[#This Row],[_LeafCalcFinish]],Tasks[[#This Row],[_AlapShift]],WorkWeek,Holidays)))</f>
        <v/>
      </c>
      <c r="FB157" s="89" t="str">
        <f aca="false">IF(NOT(Tasks[[#This Row],[_IsLeaf]]=1),"",IF(Tasks[[#This Row],[_AlapShift]]=0,Tasks[[#This Row],[_LeafFcstStart]],WORKDAY.INTL(Tasks[[#This Row],[_LeafFcstStart]],Tasks[[#This Row],[_AlapShift]],WorkWeek,Holidays)))</f>
        <v/>
      </c>
      <c r="FC157" s="89" t="str">
        <f aca="false">IF(NOT(Tasks[[#This Row],[_IsLeaf]]=1),"",IF(Tasks[[#This Row],[_AlapShift]]=0,Tasks[[#This Row],[_LeafFcstFinish]],WORKDAY.INTL(Tasks[[#This Row],[_LeafFcstFinish]],Tasks[[#This Row],[_AlapShift]],WorkWeek,Holidays)))</f>
        <v/>
      </c>
      <c r="FD157" s="89" t="str">
        <f aca="false">IF(Tasks[[#This Row],[Task Name]]="","",IF(Tasks[[#This Row],[_IsSummary]],MIN(INDEX(Tasks[_ShownCalcStart],Tasks[[#This Row],[_Row]]+1):INDEX(Tasks[_ShownCalcStart],Tasks[[#This Row],[_Row]]+Tasks[[#This Row],[_Descendants]])),Tasks[[#This Row],[_ShownCalcStart]]))</f>
        <v/>
      </c>
      <c r="FE157" s="89" t="str">
        <f aca="false">IF(Tasks[[#This Row],[Task Name]]="","",IF(Tasks[[#This Row],[_IsSummary]],MAX(INDEX(Tasks[_ShownCalcFinish],Tasks[[#This Row],[_Row]]+1):INDEX(Tasks[_ShownCalcFinish],Tasks[[#This Row],[_Row]]+Tasks[[#This Row],[_Descendants]])),Tasks[[#This Row],[_ShownCalcFinish]]))</f>
        <v/>
      </c>
      <c r="FF1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7" s="42" t="n">
        <f aca="false">IF(AND(Tasks[[#This Row],[_IsLeaf]]=1,Tasks[[#This Row],[_LeafTotalWork]]&gt;0),NETWORKDAYS.INTL(ProjectStart,Tasks[[#This Row],[_ShownFcstStart]],WorkWeek,Holidays),0)</f>
        <v>0</v>
      </c>
      <c r="FS157" s="42" t="n">
        <f aca="false">IF(AND(Tasks[[#This Row],[_IsLeaf]]=1,Tasks[[#This Row],[_LeafTotalWork]]&gt;0),MAX(Tasks[[#This Row],[_StartWorkday]],NETWORKDAYS.INTL(ProjectStart,Tasks[[#This Row],[_ShownFcstFinish]],WorkWeek,Holidays)),0)</f>
        <v>0</v>
      </c>
      <c r="FT157" s="42" t="n">
        <f aca="false">IF(AND(Tasks[[#This Row],[_IsLeaf]]=1,Tasks[[#This Row],[_LeafTotalWork]]&gt;0),Tasks[[#This Row],[_LeafWork]]/(Tasks[[#This Row],[_FinishWorkday]]-Tasks[[#This Row],[_StartWorkday]]+1),0)</f>
        <v>0</v>
      </c>
      <c r="FU157" s="42" t="n">
        <f aca="false">Tasks[[#This Row],[_WorkPerWorkday]]*(Tasks[[#This Row],[_StartWorkday]]-1)</f>
        <v>-0</v>
      </c>
      <c r="FV157" s="42" t="n">
        <f aca="false">IF(Tasks[[#This Row],[_IsLeaf]]=1,MAX(N(Tasks[[#This Row],[_Days]]),0.1),0)</f>
        <v>0</v>
      </c>
      <c r="FW157" s="42" t="n">
        <f aca="false">Tasks[[#This Row],[_WeightDur]]*Tasks[[#This Row],[_LeafProgress]]</f>
        <v>0</v>
      </c>
      <c r="FX157" s="42" t="n">
        <f aca="false">Tasks[[#This Row],[_WeightDur]]*Tasks[[#This Row],[_PlannedPct]]</f>
        <v>0</v>
      </c>
      <c r="FY1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7" s="42" t="str">
        <f aca="false">IF(AND(Tasks[[#This Row],[_IsLeaf]]=1,N(Tasks[[#This Row],[_Days]])=0,Tasks[[#This Row],[_LeafProgress]]&lt;1),Tasks[[#This Row],[_ShownFcstFinish]]+Tasks[[#This Row],[_Row]]/100000,"")</f>
        <v/>
      </c>
      <c r="GA1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7" s="42" t="str">
        <f aca="false">IF(Tasks[[#This Row],[Task Name]]="","",LEFT(Tasks[[#This Row],[WBS]],FIND(".",Tasks[[#This Row],[WBS]]&amp;".")-1))</f>
        <v/>
      </c>
      <c r="GC157" s="42" t="str">
        <f aca="false">IF(AND(Tasks[[#This Row],[Task Name]]&lt;&gt;"",Tasks[[#This Row],[_Level]]=1),Tasks[[#This Row],[_Row]],"")</f>
        <v/>
      </c>
      <c r="GD157" s="42" t="str">
        <f aca="false">IF(AND(Tasks[[#This Row],[_IsLeaf]]=1,N(Tasks[[#This Row],[_Days]])=0),Tasks[[#This Row],[Planned Finish]]+Tasks[[#This Row],[_Row]]/100000,"")</f>
        <v/>
      </c>
      <c r="GE157" s="42" t="str">
        <f aca="false">IF(AND(Tasks[[#This Row],[_IsLeaf]]=1,Tasks[[#This Row],[_LeafProgress]]&lt;1,OR(N(Tasks[[#This Row],[Finish Var]])&gt;0,Tasks[[#This Row],[Status]]="Late Start")),MAX(0,Tasks[[#This Row],[Finish Var]])+1-Tasks[[#This Row],[_Row]]/1000000,"")</f>
        <v/>
      </c>
      <c r="GF157" s="42" t="str">
        <f aca="false">IF(AND(Tasks[[#This Row],[_IsLeaf]]=1,N(Tasks[[#This Row],[Actual Start]])=0,Tasks[[#This Row],[_ShownFcstStart]]&gt;=StatusDate,Tasks[[#This Row],[_ShownFcstStart]]&lt;=LookaheadEnd),Tasks[[#This Row],[_ShownFcstStart]]+Tasks[[#This Row],[_Row]]/100000,"")</f>
        <v/>
      </c>
      <c r="GG157" s="42" t="str">
        <f aca="false">IF(AND(Tasks[[#This Row],[_IsLeaf]]=1,Tasks[[#This Row],[_LeafProgress]]&lt;1,Tasks[[#This Row],[_ShownFcstFinish]]&gt;=StatusDate,Tasks[[#This Row],[_ShownFcstFinish]]&lt;=LookaheadEnd),Tasks[[#This Row],[_ShownFcstFinish]]+Tasks[[#This Row],[_Row]]/100000,"")</f>
        <v/>
      </c>
      <c r="GH157" s="42" t="str">
        <f aca="false">IF(Tasks[[#This Row],[_LeafCritical]],Tasks[[#This Row],[_ShownFcstStart]]+Tasks[[#This Row],[_Row]]/100000,"")</f>
        <v/>
      </c>
      <c r="GI157" s="42" t="n">
        <f aca="false">Tasks[[#This Row],[_LeafWork]]*Tasks[[#This Row],[_LeafProgress]]</f>
        <v>0</v>
      </c>
      <c r="GJ157" s="89" t="str">
        <f aca="false">IF(AND(Tasks[[#This Row],[_IsLeaf]]=1,Tasks[[#This Row],[_LeafProgress]]&gt;=1),IF(N(Tasks[[#This Row],[Actual Finish]])&gt;0,Tasks[[#This Row],[Actual Finish]],Tasks[[#This Row],[_ShownFcstFinish]]),"")</f>
        <v/>
      </c>
      <c r="GK157" s="42" t="n">
        <f aca="false">IF(Tasks[[#This Row],[_IsLeaf]]=1,N(Tasks[[#This Row],[Story Points]]),0)</f>
        <v>0</v>
      </c>
      <c r="GL157" s="42" t="str">
        <f aca="false">""</f>
        <v/>
      </c>
      <c r="GM157" s="88" t="b">
        <f aca="false">IF(Tasks[[#This Row],[Task Name]]="",FALSE(),AND(Tasks[[#This Row],[_IsLeaf]]=1,N(Tasks[[#This Row],[_Days]])=0))</f>
        <v>0</v>
      </c>
      <c r="GN157" s="89" t="n">
        <f aca="false">IF(Tasks[[#This Row],[Task Name]]="",0,IF(AND(Tasks[[#This Row],[_IsLeaf]]=1,NOT(Tasks[[#This Row],[_IsMilestone]]),N(Tasks[[#This Row],[Progress]])&gt;0),Tasks[[#This Row],[Start]],0))</f>
        <v>0</v>
      </c>
      <c r="GO157" s="89" t="n">
        <f aca="false">IF(Tasks[[#This Row],[_DoneFrom]]=0,0,IF(Tasks[[#This Row],[Progress]]&gt;=1,Tasks[[#This Row],[Finish]],MAX(Tasks[[#This Row],[_DoneFrom]],Tasks[[#This Row],[Start]]+ROUND((Tasks[[#This Row],[Finish]]-Tasks[[#This Row],[Start]]+1)*Tasks[[#This Row],[Progress]],0)-1)))</f>
        <v>0</v>
      </c>
      <c r="GP157" s="89" t="n">
        <f aca="false">IF(Tasks[[#This Row],[Task Name]]="",0,IF(OR(NOT(Tasks[[#This Row],[_IsLeaf]]=1),Tasks[[#This Row],[_IsMilestone]],N(Tasks[[#This Row],[Progress]])&gt;=1),0,IF(Tasks[[#This Row],[_DoneTo]]&gt;0,Tasks[[#This Row],[_DoneTo]]+1,Tasks[[#This Row],[Start]])))</f>
        <v>0</v>
      </c>
      <c r="GQ157" s="89" t="n">
        <f aca="false">IF(Tasks[[#This Row],[_RemFrom]]=0,0,Tasks[[#This Row],[Finish]])</f>
        <v>0</v>
      </c>
      <c r="GR157" s="88" t="b">
        <f aca="false">IF(Tasks[[#This Row],[Task Name]]="",FALSE(),OR(NOT(BaselineSet),N(Tasks[[#This Row],[Baseline Start]])&gt;0))</f>
        <v>0</v>
      </c>
      <c r="GS1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7" s="90" t="str">
        <f aca="false">IF(Tasks[[#This Row],[_IsLeaf]]=1,Tasks[[#This Row],[_Row]],"")</f>
        <v/>
      </c>
      <c r="GW157" s="90" t="str">
        <f aca="false">IFERROR(INDEX(Tasks[UID],SMALL(Tasks[_PickKey],Tasks[[#This Row],[_Row]]))&amp;" "&amp;INDEX(Tasks[Task Name],SMALL(Tasks[_PickKey],Tasks[[#This Row],[_Row]])),"")</f>
        <v/>
      </c>
      <c r="GX157" s="42" t="str">
        <f aca="false">IF(Tasks[[#This Row],[Task Name]]="","",IF(Tasks[[#This Row],[_IsSummary]],NETWORKDAYS.INTL(Tasks[[#This Row],[Start]],Tasks[[#This Row],[Finish]],WorkWeek,Holidays),N(Tasks[[#This Row],[_Days]])))</f>
        <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3"/>
      <c r="U158" s="23"/>
      <c r="V158" s="83"/>
      <c r="W158" s="23"/>
      <c r="X158" s="83"/>
      <c r="Y158" s="23"/>
      <c r="Z158" s="83"/>
      <c r="AA158" s="23"/>
      <c r="AB158" s="23"/>
      <c r="AC158" s="7"/>
      <c r="AD158" s="7"/>
      <c r="AE158" s="62" t="str">
        <f aca="false">IF(Tasks[[#This Row],[Task Name]]="","",IF(Tasks[[#This Row],[_IsSummary]],MIN(INDEX(Tasks[_ShownFcstStart],Tasks[[#This Row],[_Row]]+1):INDEX(Tasks[_ShownFcstStart],Tasks[[#This Row],[_Row]]+Tasks[[#This Row],[_Descendants]])),Tasks[[#This Row],[_ShownFcstStart]]))</f>
        <v/>
      </c>
      <c r="AF158" s="62"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8" s="7"/>
      <c r="AK158" s="22"/>
      <c r="AL158" s="23"/>
      <c r="AM158" s="7"/>
      <c r="AN158" s="46"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2" t="str">
        <f aca="false">IF(Tasks[[#This Row],[Task Name]]="","",IF(N(Tasks[[#This Row],[Baseline Start]])&gt;0,Tasks[[#This Row],[Baseline Start]],Tasks[[#This Row],[_CalcStart]]))</f>
        <v/>
      </c>
      <c r="AR158" s="62" t="str">
        <f aca="false">IF(Tasks[[#This Row],[Task Name]]="","",IF(N(Tasks[[#This Row],[Baseline Finish]])&gt;0,Tasks[[#This Row],[Baseline Finish]],Tasks[[#This Row],[_CalcFinish]]))</f>
        <v/>
      </c>
      <c r="AS158" s="46" t="str">
        <f aca="false">IF(Tasks[[#This Row],[Task Name]]="","",IF(Tasks[[#This Row],[Start]]&gt;=Tasks[[#This Row],[Planned Start]],NETWORKDAYS.INTL(Tasks[[#This Row],[Planned Start]],Tasks[[#This Row],[Start]],WorkWeek,Holidays)-1,1-NETWORKDAYS.INTL(Tasks[[#This Row],[Start]],Tasks[[#This Row],[Planned Start]],WorkWeek,Holidays)))</f>
        <v/>
      </c>
      <c r="AT158" s="62" t="str">
        <f aca="false">IF(Tasks[[#This Row],[Task Name]]="","",IF(Tasks[[#This Row],[_IsSummary]],MIN(INDEX(Tasks[_LeafLateStart],Tasks[[#This Row],[_Row]]+1):INDEX(Tasks[_LeafLateStart],Tasks[[#This Row],[_Row]]+Tasks[[#This Row],[_Descendants]])),Tasks[[#This Row],[_LeafLateStart]]))</f>
        <v/>
      </c>
      <c r="AU158" s="62" t="str">
        <f aca="false">IF(Tasks[[#This Row],[Task Name]]="","",IF(Tasks[[#This Row],[_IsSummary]],MAX(INDEX(Tasks[_LeafLateFinish],Tasks[[#This Row],[_Row]]+1):INDEX(Tasks[_LeafLateFinish],Tasks[[#This Row],[_Row]]+Tasks[[#This Row],[_Descendants]])),Tasks[[#This Row],[_LeafLateFinish]]))</f>
        <v/>
      </c>
      <c r="AV158" s="46"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4"/>
      <c r="BA1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5"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6"/>
      <c r="BJ158" s="22"/>
      <c r="BK158" s="46" t="str">
        <f aca="false">IF(OR(Tasks[[#This Row],[Task Name]]="",Tasks[[#This Row],[Baseline Duration]]=""),"",Tasks[[#This Row],[_SpanDays]]-N(Tasks[[#This Row],[Baseline Duration]]))</f>
        <v/>
      </c>
      <c r="BL158" s="85" t="str">
        <f aca="false">IF(OR(Tasks[[#This Row],[Task Name]]="",Tasks[[#This Row],[Baseline Work]]=""),"",Tasks[[#This Row],[Work]]-N(Tasks[[#This Row],[Baseline Work]]))</f>
        <v/>
      </c>
      <c r="BM158" s="62" t="str">
        <f aca="false">IF(Tasks[[#This Row],[Task Name]]="","",IF(OR(TakeBaseline="Yes",N(Tasks[[#This Row],[Baseline Start]])=0),Tasks[[#This Row],[Start]],Tasks[[#This Row],[Baseline Start]]))</f>
        <v/>
      </c>
      <c r="BN158" s="62"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5" t="str">
        <f aca="false">IF(Tasks[[#This Row],[Task Name]]="","",IF(OR(TakeBaseline="Yes",N(Tasks[[#This Row],[Baseline Work]])=0),Tasks[[#This Row],[Work]],Tasks[[#This Row],[Baseline Work]]))</f>
        <v/>
      </c>
      <c r="BQ158" s="7"/>
      <c r="BR158" s="7"/>
      <c r="BS158" s="22"/>
      <c r="BT158" s="87"/>
      <c r="BU158" s="42" t="str">
        <f aca="false">IF(Tasks[[#This Row],[Task Name]]="","",MAX(1,N(Tasks[[#This Row],[Level]])))</f>
        <v/>
      </c>
      <c r="BV158" s="42" t="n">
        <f aca="false">ROW()-ROW(Tasks[[#Headers],[ID]])</f>
        <v>153</v>
      </c>
      <c r="BW158" s="42" t="n">
        <f aca="false">IF(OR(Tasks[[#This Row],[Task Name]]="",Tasks[[#This Row],[_Level]]&lt;=1),0,IFERROR(LOOKUP(2,1/(Tasks[[#Headers],[_Level]]:Tasks[[#This Row],[_Level]]=Tasks[[#This Row],[_Level]]-1),ROW(Tasks[[#Headers],[_Level]]:Tasks[[#This Row],[_Level]])),0))</f>
        <v>0</v>
      </c>
      <c r="BX158" s="42" t="n">
        <f aca="false">IFERROR(N(INDEX(Tasks[_Level],Tasks[[#This Row],[_Row]]+1)),0)</f>
        <v>0</v>
      </c>
      <c r="BY158" s="88" t="b">
        <f aca="false">AND(Tasks[[#This Row],[Task Name]]&lt;&gt;"",Tasks[[#This Row],[_NextLevel]]&gt;Tasks[[#This Row],[_Level]])</f>
        <v>0</v>
      </c>
      <c r="BZ158" s="42" t="n">
        <f aca="false">IF(Tasks[[#This Row],[_IsSummary]],COUNTIF(Tasks[WBS],Tasks[[#This Row],[WBS]]&amp;".*"),0)</f>
        <v>0</v>
      </c>
      <c r="CA158" s="42" t="n">
        <f aca="false">IF(AND(Tasks[[#This Row],[Task Name]]&lt;&gt;"",NOT(Tasks[[#This Row],[_IsSummary]])),1,0)</f>
        <v>0</v>
      </c>
      <c r="CB158" s="42" t="n">
        <f aca="false">IF(N(Tasks[[#This Row],[_Pred1UID]])=0,0,IFERROR(MATCH(Tasks[[#This Row],[_Pred1UID]],Tasks[UID],0),-1))</f>
        <v>0</v>
      </c>
      <c r="CC158" s="42" t="n">
        <f aca="false">IF(N(Tasks[[#This Row],[_Pred2UID]])=0,0,IFERROR(MATCH(Tasks[[#This Row],[_Pred2UID]],Tasks[UID],0),-1))</f>
        <v>0</v>
      </c>
      <c r="CD158" s="42" t="n">
        <f aca="false">IF(N(Tasks[[#This Row],[_Pred3UID]])=0,0,IFERROR(MATCH(Tasks[[#This Row],[_Pred3UID]],Tasks[UID],0),-1))</f>
        <v>0</v>
      </c>
      <c r="CE158" s="42" t="n">
        <f aca="false">IF(N(Tasks[[#This Row],[_Pred4UID]])=0,0,IFERROR(MATCH(Tasks[[#This Row],[_Pred4UID]],Tasks[UID],0),-1))</f>
        <v>0</v>
      </c>
      <c r="CF1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8" s="89" t="n">
        <f aca="false">IF(OR(Tasks[[#This Row],[_ConstraintCode]]=2,Tasks[[#This Row],[_ConstraintCode]]=3,Tasks[[#This Row],[_ConstraintCode]]=4,Tasks[[#This Row],[_ConstraintCode]]=6),Tasks[[#This Row],[_ConstraintStart]],0)</f>
        <v>0</v>
      </c>
      <c r="CI158" s="89" t="n">
        <f aca="false">IF(OR(Tasks[[#This Row],[_ConstraintCode]]=2,Tasks[[#This Row],[_ConstraintCode]]=3,Tasks[[#This Row],[_ConstraintCode]]=5,Tasks[[#This Row],[_ConstraintCode]]=7),Tasks[[#This Row],[_ConstraintStart]],2958465)</f>
        <v>2958465</v>
      </c>
      <c r="CJ1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8" s="89" t="str">
        <f aca="false">IF(NOT(Tasks[[#This Row],[_IsLeaf]]=1),"",IF(N(Tasks[[#This Row],[_Days]])&lt;=0,Tasks[[#This Row],[_LeafCalcStart]],WORKDAY.INTL(Tasks[[#This Row],[_LeafCalcStart]],Tasks[[#This Row],[_Days]]-1,WorkWeek,Holidays)))</f>
        <v/>
      </c>
      <c r="CL1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8" s="42" t="str">
        <f aca="false">IF(Tasks[[#This Row],[_Predecessors]]="","",TRIM(MID(SUBSTITUTE(SUBSTITUTE(SUBSTITUTE(UPPER(Tasks[[#This Row],[_Predecessors]]),";",",")," ",""),",",REPT(" ",99)),1,99)))</f>
        <v/>
      </c>
      <c r="CO158" s="42" t="str">
        <f aca="false">IF(Tasks[[#This Row],[_Pred1Text]]="","",IFERROR(VALUE(LEFT(Tasks[[#This Row],[_Pred1Text]],MIN(FIND("F",Tasks[[#This Row],[_Pred1Text]]&amp;"F"),FIND("S",Tasks[[#This Row],[_Pred1Text]]&amp;"S"),FIND("+",Tasks[[#This Row],[_Pred1Text]]&amp;"+"),FIND("-",Tasks[[#This Row],[_Pred1Text]]&amp;"-"))-1)),""))</f>
        <v/>
      </c>
      <c r="CP1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8" s="42" t="str">
        <f aca="false">IF(Tasks[[#This Row],[_Pred1Text]]="","",TRIM(MID(SUBSTITUTE(SUBSTITUTE(SUBSTITUTE(UPPER(Tasks[[#This Row],[_Predecessors]]),";",",")," ",""),",",REPT(" ",99)),100,99)))</f>
        <v/>
      </c>
      <c r="CS158" s="42" t="str">
        <f aca="false">IF(Tasks[[#This Row],[_Pred2Text]]="","",IFERROR(VALUE(LEFT(Tasks[[#This Row],[_Pred2Text]],MIN(FIND("F",Tasks[[#This Row],[_Pred2Text]]&amp;"F"),FIND("S",Tasks[[#This Row],[_Pred2Text]]&amp;"S"),FIND("+",Tasks[[#This Row],[_Pred2Text]]&amp;"+"),FIND("-",Tasks[[#This Row],[_Pred2Text]]&amp;"-"))-1)),""))</f>
        <v/>
      </c>
      <c r="CT1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8" s="42" t="str">
        <f aca="false">IF(Tasks[[#This Row],[_Pred2Text]]="","",TRIM(MID(SUBSTITUTE(SUBSTITUTE(SUBSTITUTE(UPPER(Tasks[[#This Row],[_Predecessors]]),";",",")," ",""),",",REPT(" ",99)),199,99)))</f>
        <v/>
      </c>
      <c r="CW158" s="42" t="str">
        <f aca="false">IF(Tasks[[#This Row],[_Pred3Text]]="","",IFERROR(VALUE(LEFT(Tasks[[#This Row],[_Pred3Text]],MIN(FIND("F",Tasks[[#This Row],[_Pred3Text]]&amp;"F"),FIND("S",Tasks[[#This Row],[_Pred3Text]]&amp;"S"),FIND("+",Tasks[[#This Row],[_Pred3Text]]&amp;"+"),FIND("-",Tasks[[#This Row],[_Pred3Text]]&amp;"-"))-1)),""))</f>
        <v/>
      </c>
      <c r="CX1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8" s="42" t="str">
        <f aca="false">IF(Tasks[[#This Row],[_Pred3Text]]="","",TRIM(MID(SUBSTITUTE(SUBSTITUTE(SUBSTITUTE(UPPER(Tasks[[#This Row],[_Predecessors]]),";",",")," ",""),",",REPT(" ",99)),298,99)))</f>
        <v/>
      </c>
      <c r="DA158" s="42" t="str">
        <f aca="false">IF(Tasks[[#This Row],[_Pred4Text]]="","",IFERROR(VALUE(LEFT(Tasks[[#This Row],[_Pred4Text]],MIN(FIND("F",Tasks[[#This Row],[_Pred4Text]]&amp;"F"),FIND("S",Tasks[[#This Row],[_Pred4Text]]&amp;"S"),FIND("+",Tasks[[#This Row],[_Pred4Text]]&amp;"+"),FIND("-",Tasks[[#This Row],[_Pred4Text]]&amp;"-"))-1)),""))</f>
        <v/>
      </c>
      <c r="DB1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8" s="42" t="str">
        <f aca="false">IF(OR(Tasks[[#This Row],[Task Name]]="",Tasks[[#This Row],[_Resources]]=""),"",TRIM(MID(SUBSTITUTE(Tasks[[#This Row],[_Resources]],",",REPT(" ",99)),1,99)))</f>
        <v/>
      </c>
      <c r="DE158" s="42" t="str">
        <f aca="false">IF(Tasks[[#This Row],[_Res1Text]]="","",TRIM(MID(SUBSTITUTE(Tasks[[#This Row],[_Resources]],",",REPT(" ",99)),100,99)))</f>
        <v/>
      </c>
      <c r="DF158" s="42" t="str">
        <f aca="false">IF(Tasks[[#This Row],[_Res2Text]]="","",TRIM(MID(SUBSTITUTE(Tasks[[#This Row],[_Resources]],",",REPT(" ",99)),199,99)))</f>
        <v/>
      </c>
      <c r="DG158" s="42" t="str">
        <f aca="false">IF(Tasks[[#This Row],[_Res3Text]]="","",TRIM(MID(SUBSTITUTE(Tasks[[#This Row],[_Resources]],",",REPT(" ",99)),298,99)))</f>
        <v/>
      </c>
      <c r="DH158" s="42" t="n">
        <f aca="false">IF(Tasks[[#This Row],[_Res1Text]]="",0,IFERROR(MATCH(TRIM(LEFT(Tasks[[#This Row],[_Res1Text]],FIND("[",Tasks[[#This Row],[_Res1Text]]&amp;"[")-1)),res_Name,0),IFERROR(MATCH(TRIM(LEFT(Tasks[[#This Row],[_Res1Text]],FIND("[",Tasks[[#This Row],[_Res1Text]]&amp;"[")-1)),res_Initials,0),0)))</f>
        <v>0</v>
      </c>
      <c r="DI158" s="42" t="n">
        <f aca="false">IF(Tasks[[#This Row],[_Res2Text]]="",0,IFERROR(MATCH(TRIM(LEFT(Tasks[[#This Row],[_Res2Text]],FIND("[",Tasks[[#This Row],[_Res2Text]]&amp;"[")-1)),res_Name,0),IFERROR(MATCH(TRIM(LEFT(Tasks[[#This Row],[_Res2Text]],FIND("[",Tasks[[#This Row],[_Res2Text]]&amp;"[")-1)),res_Initials,0),0)))</f>
        <v>0</v>
      </c>
      <c r="DJ158" s="42" t="n">
        <f aca="false">IF(Tasks[[#This Row],[_Res3Text]]="",0,IFERROR(MATCH(TRIM(LEFT(Tasks[[#This Row],[_Res3Text]],FIND("[",Tasks[[#This Row],[_Res3Text]]&amp;"[")-1)),res_Name,0),IFERROR(MATCH(TRIM(LEFT(Tasks[[#This Row],[_Res3Text]],FIND("[",Tasks[[#This Row],[_Res3Text]]&amp;"[")-1)),res_Initials,0),0)))</f>
        <v>0</v>
      </c>
      <c r="DK158" s="42" t="n">
        <f aca="false">IF(Tasks[[#This Row],[_Res4Text]]="",0,IFERROR(MATCH(TRIM(LEFT(Tasks[[#This Row],[_Res4Text]],FIND("[",Tasks[[#This Row],[_Res4Text]]&amp;"[")-1)),res_Name,0),IFERROR(MATCH(TRIM(LEFT(Tasks[[#This Row],[_Res4Text]],FIND("[",Tasks[[#This Row],[_Res4Text]]&amp;"[")-1)),res_Initials,0),0)))</f>
        <v>0</v>
      </c>
      <c r="DL158" s="42" t="str">
        <f aca="false">IF(Tasks[[#This Row],[_Res1Text]]="","",IF(Tasks[[#This Row],[_Res1Row]]&gt;0,INDEX(res_Name,Tasks[[#This Row],[_Res1Row]]),TRIM(LEFT(Tasks[[#This Row],[_Res1Text]],FIND("[",Tasks[[#This Row],[_Res1Text]]&amp;"[")-1))))</f>
        <v/>
      </c>
      <c r="DM1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8" s="42" t="n">
        <f aca="false">IF(NOT(Tasks[[#This Row],[_IsLeaf]]=1),0,(Tasks[[#This Row],[_Resource1]]&lt;&gt;"")+(Tasks[[#This Row],[_Res2]]&lt;&gt;"")+(Tasks[[#This Row],[_Res3]]&lt;&gt;"")+(Tasks[[#This Row],[_Res4]]&lt;&gt;""))</f>
        <v>0</v>
      </c>
      <c r="DO158" s="42" t="str">
        <f aca="false">IF(Tasks[[#This Row],[_Res2Text]]="","",IF(Tasks[[#This Row],[_Res2Row]]&gt;0,INDEX(res_Name,Tasks[[#This Row],[_Res2Row]]),TRIM(LEFT(Tasks[[#This Row],[_Res2Text]],FIND("[",Tasks[[#This Row],[_Res2Text]]&amp;"[")-1))))</f>
        <v/>
      </c>
      <c r="DP1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8" s="42" t="n">
        <f aca="false">IF(OR(NOT(Tasks[[#This Row],[_IsLeaf]]=1),Tasks[[#This Row],[_Res2Row]]=0),0,N(Tasks[[#This Row],[_Days]])*HoursPerDay*IF(Tasks[[#This Row],[_Res2Units]]="",DefaultUnits,Tasks[[#This Row],[_Res2Units]]))</f>
        <v>0</v>
      </c>
      <c r="DR158" s="42" t="n">
        <f aca="false">IF(AND(AND(Tasks[[#This Row],[_IsLeaf]]=1,Tasks[[#This Row],[_LeafTotalWork]]&gt;0),Tasks[[#This Row],[_Res2Work]]&gt;0),Tasks[[#This Row],[_Res2Work]]/(Tasks[[#This Row],[_FinishWorkday]]-Tasks[[#This Row],[_StartWorkday]]+1),0)</f>
        <v>0</v>
      </c>
      <c r="DS158" s="42" t="n">
        <f aca="false">Tasks[[#This Row],[_Res2WorkPerWD]]*MAX(0,Tasks[[#This Row],[_StartWorkday]]-1)</f>
        <v>0</v>
      </c>
      <c r="DT158" s="42" t="n">
        <f aca="false">Tasks[[#This Row],[_Res2Work]]*Tasks[[#This Row],[_LeafProgress]]</f>
        <v>0</v>
      </c>
      <c r="DU158" s="42" t="str">
        <f aca="false">IF(Tasks[[#This Row],[_Res3Text]]="","",IF(Tasks[[#This Row],[_Res3Row]]&gt;0,INDEX(res_Name,Tasks[[#This Row],[_Res3Row]]),TRIM(LEFT(Tasks[[#This Row],[_Res3Text]],FIND("[",Tasks[[#This Row],[_Res3Text]]&amp;"[")-1))))</f>
        <v/>
      </c>
      <c r="DV1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8" s="42" t="n">
        <f aca="false">IF(OR(NOT(Tasks[[#This Row],[_IsLeaf]]=1),Tasks[[#This Row],[_Res3Row]]=0),0,N(Tasks[[#This Row],[_Days]])*HoursPerDay*IF(Tasks[[#This Row],[_Res3Units]]="",DefaultUnits,Tasks[[#This Row],[_Res3Units]]))</f>
        <v>0</v>
      </c>
      <c r="DX158" s="42" t="n">
        <f aca="false">IF(AND(AND(Tasks[[#This Row],[_IsLeaf]]=1,Tasks[[#This Row],[_LeafTotalWork]]&gt;0),Tasks[[#This Row],[_Res3Work]]&gt;0),Tasks[[#This Row],[_Res3Work]]/(Tasks[[#This Row],[_FinishWorkday]]-Tasks[[#This Row],[_StartWorkday]]+1),0)</f>
        <v>0</v>
      </c>
      <c r="DY158" s="42" t="n">
        <f aca="false">Tasks[[#This Row],[_Res3WorkPerWD]]*MAX(0,Tasks[[#This Row],[_StartWorkday]]-1)</f>
        <v>0</v>
      </c>
      <c r="DZ158" s="42" t="n">
        <f aca="false">Tasks[[#This Row],[_Res3Work]]*Tasks[[#This Row],[_LeafProgress]]</f>
        <v>0</v>
      </c>
      <c r="EA158" s="42" t="str">
        <f aca="false">IF(Tasks[[#This Row],[_Res4Text]]="","",IF(Tasks[[#This Row],[_Res4Row]]&gt;0,INDEX(res_Name,Tasks[[#This Row],[_Res4Row]]),TRIM(LEFT(Tasks[[#This Row],[_Res4Text]],FIND("[",Tasks[[#This Row],[_Res4Text]]&amp;"[")-1))))</f>
        <v/>
      </c>
      <c r="EB1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8" s="42" t="n">
        <f aca="false">IF(OR(NOT(Tasks[[#This Row],[_IsLeaf]]=1),Tasks[[#This Row],[_Res4Row]]=0),0,N(Tasks[[#This Row],[_Days]])*HoursPerDay*IF(Tasks[[#This Row],[_Res4Units]]="",DefaultUnits,Tasks[[#This Row],[_Res4Units]]))</f>
        <v>0</v>
      </c>
      <c r="ED158" s="42" t="n">
        <f aca="false">IF(AND(AND(Tasks[[#This Row],[_IsLeaf]]=1,Tasks[[#This Row],[_LeafTotalWork]]&gt;0),Tasks[[#This Row],[_Res4Work]]&gt;0),Tasks[[#This Row],[_Res4Work]]/(Tasks[[#This Row],[_FinishWorkday]]-Tasks[[#This Row],[_StartWorkday]]+1),0)</f>
        <v>0</v>
      </c>
      <c r="EE158" s="42" t="n">
        <f aca="false">Tasks[[#This Row],[_Res4WorkPerWD]]*MAX(0,Tasks[[#This Row],[_StartWorkday]]-1)</f>
        <v>0</v>
      </c>
      <c r="EF158" s="42" t="n">
        <f aca="false">Tasks[[#This Row],[_Res4Work]]*Tasks[[#This Row],[_LeafProgress]]</f>
        <v>0</v>
      </c>
      <c r="EG158" s="42" t="n">
        <f aca="false">IF(ISNUMBER(Tasks[[#This Row],[% Complete]]),Tasks[[#This Row],[% Complete]],IF(Tasks[[#This Row],[Stage]]="",0,IFERROR(INDEX(stg_Pct,MATCH(Tasks[[#This Row],[Stage]],stg_Name,0)),0)))</f>
        <v>0</v>
      </c>
      <c r="EH158" s="42" t="n">
        <f aca="false">IF(NOT(Tasks[[#This Row],[_IsLeaf]]=1),0,IF(N(Tasks[[#This Row],[Actual Finish]])&gt;0,1,MIN(1,Tasks[[#This Row],[_Pct]])))</f>
        <v>0</v>
      </c>
      <c r="EI158" s="42" t="n">
        <f aca="false">IF(OR(NOT(Tasks[[#This Row],[_IsLeaf]]=1),Tasks[[#This Row],[_Res1Row]]=0),0,N(Tasks[[#This Row],[_Days]])*HoursPerDay*IF(Tasks[[#This Row],[_Units1]]="",DefaultUnits,Tasks[[#This Row],[_Units1]]))</f>
        <v>0</v>
      </c>
      <c r="EJ158" s="42" t="n">
        <f aca="false">Tasks[[#This Row],[_LeafWork]]+Tasks[[#This Row],[_Res2Work]]+Tasks[[#This Row],[_Res3Work]]+Tasks[[#This Row],[_Res4Work]]</f>
        <v>0</v>
      </c>
      <c r="EK1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8" s="42" t="n">
        <f aca="false">IF(NOT(Tasks[[#This Row],[_IsLeaf]]=1),0,MAX(_xlfn.MAXIFS(Tasks[_Row],Tasks[_Pred1UID],Tasks[[#This Row],[UID]]),_xlfn.MAXIFS(Tasks[_Row],Tasks[_Pred2UID],Tasks[[#This Row],[UID]]),_xlfn.MAXIFS(Tasks[_Row],Tasks[_Pred3UID],Tasks[[#This Row],[UID]]),_xlfn.MAXIFS(Tasks[_Row],Tasks[_Pred4UID],Tasks[[#This Row],[UID]])))</f>
        <v>0</v>
      </c>
      <c r="ET1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8" s="89" t="str">
        <f aca="false">IF(NOT(Tasks[[#This Row],[_IsLeaf]]=1),"",IF(N(Tasks[[#This Row],[_Days]])&lt;=0,Tasks[[#This Row],[_LeafLateFinish]],WORKDAY.INTL(Tasks[[#This Row],[_LeafLateFinish]],-(Tasks[[#This Row],[_Days]]-1),WorkWeek,Holidays)))</f>
        <v/>
      </c>
      <c r="EW1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8" s="88" t="b">
        <f aca="false">AND(Tasks[[#This Row],[_IsLeaf]]=1,Tasks[[#This Row],[_LeafProgress]]&lt;1,N(Tasks[[#This Row],[_LeafTotalSlack]])&lt;=CriticalSlackDays)</f>
        <v>0</v>
      </c>
      <c r="EY158" s="42" t="n">
        <f aca="false">IF(AND(Tasks[[#This Row],[_IsLeaf]]=1,Tasks[[#This Row],[_ConstraintCode]]=1,Tasks[[#This Row],[Mode]]&lt;&gt;"Manual",N(Tasks[[#This Row],[Actual Start]])=0),MAX(0,N(Tasks[[#This Row],[Free Slack]])),0)</f>
        <v>0</v>
      </c>
      <c r="EZ158" s="89" t="str">
        <f aca="false">IF(NOT(Tasks[[#This Row],[_IsLeaf]]=1),"",IF(Tasks[[#This Row],[_AlapShift]]=0,Tasks[[#This Row],[_LeafCalcStart]],WORKDAY.INTL(Tasks[[#This Row],[_LeafCalcStart]],Tasks[[#This Row],[_AlapShift]],WorkWeek,Holidays)))</f>
        <v/>
      </c>
      <c r="FA158" s="89" t="str">
        <f aca="false">IF(NOT(Tasks[[#This Row],[_IsLeaf]]=1),"",IF(Tasks[[#This Row],[_AlapShift]]=0,Tasks[[#This Row],[_LeafCalcFinish]],WORKDAY.INTL(Tasks[[#This Row],[_LeafCalcFinish]],Tasks[[#This Row],[_AlapShift]],WorkWeek,Holidays)))</f>
        <v/>
      </c>
      <c r="FB158" s="89" t="str">
        <f aca="false">IF(NOT(Tasks[[#This Row],[_IsLeaf]]=1),"",IF(Tasks[[#This Row],[_AlapShift]]=0,Tasks[[#This Row],[_LeafFcstStart]],WORKDAY.INTL(Tasks[[#This Row],[_LeafFcstStart]],Tasks[[#This Row],[_AlapShift]],WorkWeek,Holidays)))</f>
        <v/>
      </c>
      <c r="FC158" s="89" t="str">
        <f aca="false">IF(NOT(Tasks[[#This Row],[_IsLeaf]]=1),"",IF(Tasks[[#This Row],[_AlapShift]]=0,Tasks[[#This Row],[_LeafFcstFinish]],WORKDAY.INTL(Tasks[[#This Row],[_LeafFcstFinish]],Tasks[[#This Row],[_AlapShift]],WorkWeek,Holidays)))</f>
        <v/>
      </c>
      <c r="FD158" s="89" t="str">
        <f aca="false">IF(Tasks[[#This Row],[Task Name]]="","",IF(Tasks[[#This Row],[_IsSummary]],MIN(INDEX(Tasks[_ShownCalcStart],Tasks[[#This Row],[_Row]]+1):INDEX(Tasks[_ShownCalcStart],Tasks[[#This Row],[_Row]]+Tasks[[#This Row],[_Descendants]])),Tasks[[#This Row],[_ShownCalcStart]]))</f>
        <v/>
      </c>
      <c r="FE158" s="89" t="str">
        <f aca="false">IF(Tasks[[#This Row],[Task Name]]="","",IF(Tasks[[#This Row],[_IsSummary]],MAX(INDEX(Tasks[_ShownCalcFinish],Tasks[[#This Row],[_Row]]+1):INDEX(Tasks[_ShownCalcFinish],Tasks[[#This Row],[_Row]]+Tasks[[#This Row],[_Descendants]])),Tasks[[#This Row],[_ShownCalcFinish]]))</f>
        <v/>
      </c>
      <c r="FF1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8" s="42" t="n">
        <f aca="false">IF(AND(Tasks[[#This Row],[_IsLeaf]]=1,Tasks[[#This Row],[_LeafTotalWork]]&gt;0),NETWORKDAYS.INTL(ProjectStart,Tasks[[#This Row],[_ShownFcstStart]],WorkWeek,Holidays),0)</f>
        <v>0</v>
      </c>
      <c r="FS158" s="42" t="n">
        <f aca="false">IF(AND(Tasks[[#This Row],[_IsLeaf]]=1,Tasks[[#This Row],[_LeafTotalWork]]&gt;0),MAX(Tasks[[#This Row],[_StartWorkday]],NETWORKDAYS.INTL(ProjectStart,Tasks[[#This Row],[_ShownFcstFinish]],WorkWeek,Holidays)),0)</f>
        <v>0</v>
      </c>
      <c r="FT158" s="42" t="n">
        <f aca="false">IF(AND(Tasks[[#This Row],[_IsLeaf]]=1,Tasks[[#This Row],[_LeafTotalWork]]&gt;0),Tasks[[#This Row],[_LeafWork]]/(Tasks[[#This Row],[_FinishWorkday]]-Tasks[[#This Row],[_StartWorkday]]+1),0)</f>
        <v>0</v>
      </c>
      <c r="FU158" s="42" t="n">
        <f aca="false">Tasks[[#This Row],[_WorkPerWorkday]]*(Tasks[[#This Row],[_StartWorkday]]-1)</f>
        <v>-0</v>
      </c>
      <c r="FV158" s="42" t="n">
        <f aca="false">IF(Tasks[[#This Row],[_IsLeaf]]=1,MAX(N(Tasks[[#This Row],[_Days]]),0.1),0)</f>
        <v>0</v>
      </c>
      <c r="FW158" s="42" t="n">
        <f aca="false">Tasks[[#This Row],[_WeightDur]]*Tasks[[#This Row],[_LeafProgress]]</f>
        <v>0</v>
      </c>
      <c r="FX158" s="42" t="n">
        <f aca="false">Tasks[[#This Row],[_WeightDur]]*Tasks[[#This Row],[_PlannedPct]]</f>
        <v>0</v>
      </c>
      <c r="FY1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8" s="42" t="str">
        <f aca="false">IF(AND(Tasks[[#This Row],[_IsLeaf]]=1,N(Tasks[[#This Row],[_Days]])=0,Tasks[[#This Row],[_LeafProgress]]&lt;1),Tasks[[#This Row],[_ShownFcstFinish]]+Tasks[[#This Row],[_Row]]/100000,"")</f>
        <v/>
      </c>
      <c r="GA1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8" s="42" t="str">
        <f aca="false">IF(Tasks[[#This Row],[Task Name]]="","",LEFT(Tasks[[#This Row],[WBS]],FIND(".",Tasks[[#This Row],[WBS]]&amp;".")-1))</f>
        <v/>
      </c>
      <c r="GC158" s="42" t="str">
        <f aca="false">IF(AND(Tasks[[#This Row],[Task Name]]&lt;&gt;"",Tasks[[#This Row],[_Level]]=1),Tasks[[#This Row],[_Row]],"")</f>
        <v/>
      </c>
      <c r="GD158" s="42" t="str">
        <f aca="false">IF(AND(Tasks[[#This Row],[_IsLeaf]]=1,N(Tasks[[#This Row],[_Days]])=0),Tasks[[#This Row],[Planned Finish]]+Tasks[[#This Row],[_Row]]/100000,"")</f>
        <v/>
      </c>
      <c r="GE158" s="42" t="str">
        <f aca="false">IF(AND(Tasks[[#This Row],[_IsLeaf]]=1,Tasks[[#This Row],[_LeafProgress]]&lt;1,OR(N(Tasks[[#This Row],[Finish Var]])&gt;0,Tasks[[#This Row],[Status]]="Late Start")),MAX(0,Tasks[[#This Row],[Finish Var]])+1-Tasks[[#This Row],[_Row]]/1000000,"")</f>
        <v/>
      </c>
      <c r="GF158" s="42" t="str">
        <f aca="false">IF(AND(Tasks[[#This Row],[_IsLeaf]]=1,N(Tasks[[#This Row],[Actual Start]])=0,Tasks[[#This Row],[_ShownFcstStart]]&gt;=StatusDate,Tasks[[#This Row],[_ShownFcstStart]]&lt;=LookaheadEnd),Tasks[[#This Row],[_ShownFcstStart]]+Tasks[[#This Row],[_Row]]/100000,"")</f>
        <v/>
      </c>
      <c r="GG158" s="42" t="str">
        <f aca="false">IF(AND(Tasks[[#This Row],[_IsLeaf]]=1,Tasks[[#This Row],[_LeafProgress]]&lt;1,Tasks[[#This Row],[_ShownFcstFinish]]&gt;=StatusDate,Tasks[[#This Row],[_ShownFcstFinish]]&lt;=LookaheadEnd),Tasks[[#This Row],[_ShownFcstFinish]]+Tasks[[#This Row],[_Row]]/100000,"")</f>
        <v/>
      </c>
      <c r="GH158" s="42" t="str">
        <f aca="false">IF(Tasks[[#This Row],[_LeafCritical]],Tasks[[#This Row],[_ShownFcstStart]]+Tasks[[#This Row],[_Row]]/100000,"")</f>
        <v/>
      </c>
      <c r="GI158" s="42" t="n">
        <f aca="false">Tasks[[#This Row],[_LeafWork]]*Tasks[[#This Row],[_LeafProgress]]</f>
        <v>0</v>
      </c>
      <c r="GJ158" s="89" t="str">
        <f aca="false">IF(AND(Tasks[[#This Row],[_IsLeaf]]=1,Tasks[[#This Row],[_LeafProgress]]&gt;=1),IF(N(Tasks[[#This Row],[Actual Finish]])&gt;0,Tasks[[#This Row],[Actual Finish]],Tasks[[#This Row],[_ShownFcstFinish]]),"")</f>
        <v/>
      </c>
      <c r="GK158" s="42" t="n">
        <f aca="false">IF(Tasks[[#This Row],[_IsLeaf]]=1,N(Tasks[[#This Row],[Story Points]]),0)</f>
        <v>0</v>
      </c>
      <c r="GL158" s="42" t="str">
        <f aca="false">""</f>
        <v/>
      </c>
      <c r="GM158" s="88" t="b">
        <f aca="false">IF(Tasks[[#This Row],[Task Name]]="",FALSE(),AND(Tasks[[#This Row],[_IsLeaf]]=1,N(Tasks[[#This Row],[_Days]])=0))</f>
        <v>0</v>
      </c>
      <c r="GN158" s="89" t="n">
        <f aca="false">IF(Tasks[[#This Row],[Task Name]]="",0,IF(AND(Tasks[[#This Row],[_IsLeaf]]=1,NOT(Tasks[[#This Row],[_IsMilestone]]),N(Tasks[[#This Row],[Progress]])&gt;0),Tasks[[#This Row],[Start]],0))</f>
        <v>0</v>
      </c>
      <c r="GO158" s="89" t="n">
        <f aca="false">IF(Tasks[[#This Row],[_DoneFrom]]=0,0,IF(Tasks[[#This Row],[Progress]]&gt;=1,Tasks[[#This Row],[Finish]],MAX(Tasks[[#This Row],[_DoneFrom]],Tasks[[#This Row],[Start]]+ROUND((Tasks[[#This Row],[Finish]]-Tasks[[#This Row],[Start]]+1)*Tasks[[#This Row],[Progress]],0)-1)))</f>
        <v>0</v>
      </c>
      <c r="GP158" s="89" t="n">
        <f aca="false">IF(Tasks[[#This Row],[Task Name]]="",0,IF(OR(NOT(Tasks[[#This Row],[_IsLeaf]]=1),Tasks[[#This Row],[_IsMilestone]],N(Tasks[[#This Row],[Progress]])&gt;=1),0,IF(Tasks[[#This Row],[_DoneTo]]&gt;0,Tasks[[#This Row],[_DoneTo]]+1,Tasks[[#This Row],[Start]])))</f>
        <v>0</v>
      </c>
      <c r="GQ158" s="89" t="n">
        <f aca="false">IF(Tasks[[#This Row],[_RemFrom]]=0,0,Tasks[[#This Row],[Finish]])</f>
        <v>0</v>
      </c>
      <c r="GR158" s="88" t="b">
        <f aca="false">IF(Tasks[[#This Row],[Task Name]]="",FALSE(),OR(NOT(BaselineSet),N(Tasks[[#This Row],[Baseline Start]])&gt;0))</f>
        <v>0</v>
      </c>
      <c r="GS1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8" s="90" t="str">
        <f aca="false">IF(Tasks[[#This Row],[_IsLeaf]]=1,Tasks[[#This Row],[_Row]],"")</f>
        <v/>
      </c>
      <c r="GW158" s="90" t="str">
        <f aca="false">IFERROR(INDEX(Tasks[UID],SMALL(Tasks[_PickKey],Tasks[[#This Row],[_Row]]))&amp;" "&amp;INDEX(Tasks[Task Name],SMALL(Tasks[_PickKey],Tasks[[#This Row],[_Row]])),"")</f>
        <v/>
      </c>
      <c r="GX158" s="42" t="str">
        <f aca="false">IF(Tasks[[#This Row],[Task Name]]="","",IF(Tasks[[#This Row],[_IsSummary]],NETWORKDAYS.INTL(Tasks[[#This Row],[Start]],Tasks[[#This Row],[Finish]],WorkWeek,Holidays),N(Tasks[[#This Row],[_Days]])))</f>
        <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3"/>
      <c r="U159" s="23"/>
      <c r="V159" s="83"/>
      <c r="W159" s="23"/>
      <c r="X159" s="83"/>
      <c r="Y159" s="23"/>
      <c r="Z159" s="83"/>
      <c r="AA159" s="23"/>
      <c r="AB159" s="23"/>
      <c r="AC159" s="7"/>
      <c r="AD159" s="7"/>
      <c r="AE159" s="62" t="str">
        <f aca="false">IF(Tasks[[#This Row],[Task Name]]="","",IF(Tasks[[#This Row],[_IsSummary]],MIN(INDEX(Tasks[_ShownFcstStart],Tasks[[#This Row],[_Row]]+1):INDEX(Tasks[_ShownFcstStart],Tasks[[#This Row],[_Row]]+Tasks[[#This Row],[_Descendants]])),Tasks[[#This Row],[_ShownFcstStart]]))</f>
        <v/>
      </c>
      <c r="AF159" s="62"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9" s="7"/>
      <c r="AK159" s="22"/>
      <c r="AL159" s="23"/>
      <c r="AM159" s="7"/>
      <c r="AN159" s="46"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2" t="str">
        <f aca="false">IF(Tasks[[#This Row],[Task Name]]="","",IF(N(Tasks[[#This Row],[Baseline Start]])&gt;0,Tasks[[#This Row],[Baseline Start]],Tasks[[#This Row],[_CalcStart]]))</f>
        <v/>
      </c>
      <c r="AR159" s="62" t="str">
        <f aca="false">IF(Tasks[[#This Row],[Task Name]]="","",IF(N(Tasks[[#This Row],[Baseline Finish]])&gt;0,Tasks[[#This Row],[Baseline Finish]],Tasks[[#This Row],[_CalcFinish]]))</f>
        <v/>
      </c>
      <c r="AS159" s="46" t="str">
        <f aca="false">IF(Tasks[[#This Row],[Task Name]]="","",IF(Tasks[[#This Row],[Start]]&gt;=Tasks[[#This Row],[Planned Start]],NETWORKDAYS.INTL(Tasks[[#This Row],[Planned Start]],Tasks[[#This Row],[Start]],WorkWeek,Holidays)-1,1-NETWORKDAYS.INTL(Tasks[[#This Row],[Start]],Tasks[[#This Row],[Planned Start]],WorkWeek,Holidays)))</f>
        <v/>
      </c>
      <c r="AT159" s="62" t="str">
        <f aca="false">IF(Tasks[[#This Row],[Task Name]]="","",IF(Tasks[[#This Row],[_IsSummary]],MIN(INDEX(Tasks[_LeafLateStart],Tasks[[#This Row],[_Row]]+1):INDEX(Tasks[_LeafLateStart],Tasks[[#This Row],[_Row]]+Tasks[[#This Row],[_Descendants]])),Tasks[[#This Row],[_LeafLateStart]]))</f>
        <v/>
      </c>
      <c r="AU159" s="62" t="str">
        <f aca="false">IF(Tasks[[#This Row],[Task Name]]="","",IF(Tasks[[#This Row],[_IsSummary]],MAX(INDEX(Tasks[_LeafLateFinish],Tasks[[#This Row],[_Row]]+1):INDEX(Tasks[_LeafLateFinish],Tasks[[#This Row],[_Row]]+Tasks[[#This Row],[_Descendants]])),Tasks[[#This Row],[_LeafLateFinish]]))</f>
        <v/>
      </c>
      <c r="AV159" s="46"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4"/>
      <c r="BA1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5"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6"/>
      <c r="BJ159" s="22"/>
      <c r="BK159" s="46" t="str">
        <f aca="false">IF(OR(Tasks[[#This Row],[Task Name]]="",Tasks[[#This Row],[Baseline Duration]]=""),"",Tasks[[#This Row],[_SpanDays]]-N(Tasks[[#This Row],[Baseline Duration]]))</f>
        <v/>
      </c>
      <c r="BL159" s="85" t="str">
        <f aca="false">IF(OR(Tasks[[#This Row],[Task Name]]="",Tasks[[#This Row],[Baseline Work]]=""),"",Tasks[[#This Row],[Work]]-N(Tasks[[#This Row],[Baseline Work]]))</f>
        <v/>
      </c>
      <c r="BM159" s="62" t="str">
        <f aca="false">IF(Tasks[[#This Row],[Task Name]]="","",IF(OR(TakeBaseline="Yes",N(Tasks[[#This Row],[Baseline Start]])=0),Tasks[[#This Row],[Start]],Tasks[[#This Row],[Baseline Start]]))</f>
        <v/>
      </c>
      <c r="BN159" s="62"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5" t="str">
        <f aca="false">IF(Tasks[[#This Row],[Task Name]]="","",IF(OR(TakeBaseline="Yes",N(Tasks[[#This Row],[Baseline Work]])=0),Tasks[[#This Row],[Work]],Tasks[[#This Row],[Baseline Work]]))</f>
        <v/>
      </c>
      <c r="BQ159" s="7"/>
      <c r="BR159" s="7"/>
      <c r="BS159" s="22"/>
      <c r="BT159" s="87"/>
      <c r="BU159" s="42" t="str">
        <f aca="false">IF(Tasks[[#This Row],[Task Name]]="","",MAX(1,N(Tasks[[#This Row],[Level]])))</f>
        <v/>
      </c>
      <c r="BV159" s="42" t="n">
        <f aca="false">ROW()-ROW(Tasks[[#Headers],[ID]])</f>
        <v>154</v>
      </c>
      <c r="BW159" s="42" t="n">
        <f aca="false">IF(OR(Tasks[[#This Row],[Task Name]]="",Tasks[[#This Row],[_Level]]&lt;=1),0,IFERROR(LOOKUP(2,1/(Tasks[[#Headers],[_Level]]:Tasks[[#This Row],[_Level]]=Tasks[[#This Row],[_Level]]-1),ROW(Tasks[[#Headers],[_Level]]:Tasks[[#This Row],[_Level]])),0))</f>
        <v>0</v>
      </c>
      <c r="BX159" s="42" t="n">
        <f aca="false">IFERROR(N(INDEX(Tasks[_Level],Tasks[[#This Row],[_Row]]+1)),0)</f>
        <v>0</v>
      </c>
      <c r="BY159" s="88" t="b">
        <f aca="false">AND(Tasks[[#This Row],[Task Name]]&lt;&gt;"",Tasks[[#This Row],[_NextLevel]]&gt;Tasks[[#This Row],[_Level]])</f>
        <v>0</v>
      </c>
      <c r="BZ159" s="42" t="n">
        <f aca="false">IF(Tasks[[#This Row],[_IsSummary]],COUNTIF(Tasks[WBS],Tasks[[#This Row],[WBS]]&amp;".*"),0)</f>
        <v>0</v>
      </c>
      <c r="CA159" s="42" t="n">
        <f aca="false">IF(AND(Tasks[[#This Row],[Task Name]]&lt;&gt;"",NOT(Tasks[[#This Row],[_IsSummary]])),1,0)</f>
        <v>0</v>
      </c>
      <c r="CB159" s="42" t="n">
        <f aca="false">IF(N(Tasks[[#This Row],[_Pred1UID]])=0,0,IFERROR(MATCH(Tasks[[#This Row],[_Pred1UID]],Tasks[UID],0),-1))</f>
        <v>0</v>
      </c>
      <c r="CC159" s="42" t="n">
        <f aca="false">IF(N(Tasks[[#This Row],[_Pred2UID]])=0,0,IFERROR(MATCH(Tasks[[#This Row],[_Pred2UID]],Tasks[UID],0),-1))</f>
        <v>0</v>
      </c>
      <c r="CD159" s="42" t="n">
        <f aca="false">IF(N(Tasks[[#This Row],[_Pred3UID]])=0,0,IFERROR(MATCH(Tasks[[#This Row],[_Pred3UID]],Tasks[UID],0),-1))</f>
        <v>0</v>
      </c>
      <c r="CE159" s="42" t="n">
        <f aca="false">IF(N(Tasks[[#This Row],[_Pred4UID]])=0,0,IFERROR(MATCH(Tasks[[#This Row],[_Pred4UID]],Tasks[UID],0),-1))</f>
        <v>0</v>
      </c>
      <c r="CF1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9" s="89" t="n">
        <f aca="false">IF(OR(Tasks[[#This Row],[_ConstraintCode]]=2,Tasks[[#This Row],[_ConstraintCode]]=3,Tasks[[#This Row],[_ConstraintCode]]=4,Tasks[[#This Row],[_ConstraintCode]]=6),Tasks[[#This Row],[_ConstraintStart]],0)</f>
        <v>0</v>
      </c>
      <c r="CI159" s="89" t="n">
        <f aca="false">IF(OR(Tasks[[#This Row],[_ConstraintCode]]=2,Tasks[[#This Row],[_ConstraintCode]]=3,Tasks[[#This Row],[_ConstraintCode]]=5,Tasks[[#This Row],[_ConstraintCode]]=7),Tasks[[#This Row],[_ConstraintStart]],2958465)</f>
        <v>2958465</v>
      </c>
      <c r="CJ1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9" s="89" t="str">
        <f aca="false">IF(NOT(Tasks[[#This Row],[_IsLeaf]]=1),"",IF(N(Tasks[[#This Row],[_Days]])&lt;=0,Tasks[[#This Row],[_LeafCalcStart]],WORKDAY.INTL(Tasks[[#This Row],[_LeafCalcStart]],Tasks[[#This Row],[_Days]]-1,WorkWeek,Holidays)))</f>
        <v/>
      </c>
      <c r="CL1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9" s="42" t="str">
        <f aca="false">IF(Tasks[[#This Row],[_Predecessors]]="","",TRIM(MID(SUBSTITUTE(SUBSTITUTE(SUBSTITUTE(UPPER(Tasks[[#This Row],[_Predecessors]]),";",",")," ",""),",",REPT(" ",99)),1,99)))</f>
        <v/>
      </c>
      <c r="CO159" s="42" t="str">
        <f aca="false">IF(Tasks[[#This Row],[_Pred1Text]]="","",IFERROR(VALUE(LEFT(Tasks[[#This Row],[_Pred1Text]],MIN(FIND("F",Tasks[[#This Row],[_Pred1Text]]&amp;"F"),FIND("S",Tasks[[#This Row],[_Pred1Text]]&amp;"S"),FIND("+",Tasks[[#This Row],[_Pred1Text]]&amp;"+"),FIND("-",Tasks[[#This Row],[_Pred1Text]]&amp;"-"))-1)),""))</f>
        <v/>
      </c>
      <c r="CP1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9" s="42" t="str">
        <f aca="false">IF(Tasks[[#This Row],[_Pred1Text]]="","",TRIM(MID(SUBSTITUTE(SUBSTITUTE(SUBSTITUTE(UPPER(Tasks[[#This Row],[_Predecessors]]),";",",")," ",""),",",REPT(" ",99)),100,99)))</f>
        <v/>
      </c>
      <c r="CS159" s="42" t="str">
        <f aca="false">IF(Tasks[[#This Row],[_Pred2Text]]="","",IFERROR(VALUE(LEFT(Tasks[[#This Row],[_Pred2Text]],MIN(FIND("F",Tasks[[#This Row],[_Pred2Text]]&amp;"F"),FIND("S",Tasks[[#This Row],[_Pred2Text]]&amp;"S"),FIND("+",Tasks[[#This Row],[_Pred2Text]]&amp;"+"),FIND("-",Tasks[[#This Row],[_Pred2Text]]&amp;"-"))-1)),""))</f>
        <v/>
      </c>
      <c r="CT1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9" s="42" t="str">
        <f aca="false">IF(Tasks[[#This Row],[_Pred2Text]]="","",TRIM(MID(SUBSTITUTE(SUBSTITUTE(SUBSTITUTE(UPPER(Tasks[[#This Row],[_Predecessors]]),";",",")," ",""),",",REPT(" ",99)),199,99)))</f>
        <v/>
      </c>
      <c r="CW159" s="42" t="str">
        <f aca="false">IF(Tasks[[#This Row],[_Pred3Text]]="","",IFERROR(VALUE(LEFT(Tasks[[#This Row],[_Pred3Text]],MIN(FIND("F",Tasks[[#This Row],[_Pred3Text]]&amp;"F"),FIND("S",Tasks[[#This Row],[_Pred3Text]]&amp;"S"),FIND("+",Tasks[[#This Row],[_Pred3Text]]&amp;"+"),FIND("-",Tasks[[#This Row],[_Pred3Text]]&amp;"-"))-1)),""))</f>
        <v/>
      </c>
      <c r="CX1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9" s="42" t="str">
        <f aca="false">IF(Tasks[[#This Row],[_Pred3Text]]="","",TRIM(MID(SUBSTITUTE(SUBSTITUTE(SUBSTITUTE(UPPER(Tasks[[#This Row],[_Predecessors]]),";",",")," ",""),",",REPT(" ",99)),298,99)))</f>
        <v/>
      </c>
      <c r="DA159" s="42" t="str">
        <f aca="false">IF(Tasks[[#This Row],[_Pred4Text]]="","",IFERROR(VALUE(LEFT(Tasks[[#This Row],[_Pred4Text]],MIN(FIND("F",Tasks[[#This Row],[_Pred4Text]]&amp;"F"),FIND("S",Tasks[[#This Row],[_Pred4Text]]&amp;"S"),FIND("+",Tasks[[#This Row],[_Pred4Text]]&amp;"+"),FIND("-",Tasks[[#This Row],[_Pred4Text]]&amp;"-"))-1)),""))</f>
        <v/>
      </c>
      <c r="DB1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9" s="42" t="str">
        <f aca="false">IF(OR(Tasks[[#This Row],[Task Name]]="",Tasks[[#This Row],[_Resources]]=""),"",TRIM(MID(SUBSTITUTE(Tasks[[#This Row],[_Resources]],",",REPT(" ",99)),1,99)))</f>
        <v/>
      </c>
      <c r="DE159" s="42" t="str">
        <f aca="false">IF(Tasks[[#This Row],[_Res1Text]]="","",TRIM(MID(SUBSTITUTE(Tasks[[#This Row],[_Resources]],",",REPT(" ",99)),100,99)))</f>
        <v/>
      </c>
      <c r="DF159" s="42" t="str">
        <f aca="false">IF(Tasks[[#This Row],[_Res2Text]]="","",TRIM(MID(SUBSTITUTE(Tasks[[#This Row],[_Resources]],",",REPT(" ",99)),199,99)))</f>
        <v/>
      </c>
      <c r="DG159" s="42" t="str">
        <f aca="false">IF(Tasks[[#This Row],[_Res3Text]]="","",TRIM(MID(SUBSTITUTE(Tasks[[#This Row],[_Resources]],",",REPT(" ",99)),298,99)))</f>
        <v/>
      </c>
      <c r="DH159" s="42" t="n">
        <f aca="false">IF(Tasks[[#This Row],[_Res1Text]]="",0,IFERROR(MATCH(TRIM(LEFT(Tasks[[#This Row],[_Res1Text]],FIND("[",Tasks[[#This Row],[_Res1Text]]&amp;"[")-1)),res_Name,0),IFERROR(MATCH(TRIM(LEFT(Tasks[[#This Row],[_Res1Text]],FIND("[",Tasks[[#This Row],[_Res1Text]]&amp;"[")-1)),res_Initials,0),0)))</f>
        <v>0</v>
      </c>
      <c r="DI159" s="42" t="n">
        <f aca="false">IF(Tasks[[#This Row],[_Res2Text]]="",0,IFERROR(MATCH(TRIM(LEFT(Tasks[[#This Row],[_Res2Text]],FIND("[",Tasks[[#This Row],[_Res2Text]]&amp;"[")-1)),res_Name,0),IFERROR(MATCH(TRIM(LEFT(Tasks[[#This Row],[_Res2Text]],FIND("[",Tasks[[#This Row],[_Res2Text]]&amp;"[")-1)),res_Initials,0),0)))</f>
        <v>0</v>
      </c>
      <c r="DJ159" s="42" t="n">
        <f aca="false">IF(Tasks[[#This Row],[_Res3Text]]="",0,IFERROR(MATCH(TRIM(LEFT(Tasks[[#This Row],[_Res3Text]],FIND("[",Tasks[[#This Row],[_Res3Text]]&amp;"[")-1)),res_Name,0),IFERROR(MATCH(TRIM(LEFT(Tasks[[#This Row],[_Res3Text]],FIND("[",Tasks[[#This Row],[_Res3Text]]&amp;"[")-1)),res_Initials,0),0)))</f>
        <v>0</v>
      </c>
      <c r="DK159" s="42" t="n">
        <f aca="false">IF(Tasks[[#This Row],[_Res4Text]]="",0,IFERROR(MATCH(TRIM(LEFT(Tasks[[#This Row],[_Res4Text]],FIND("[",Tasks[[#This Row],[_Res4Text]]&amp;"[")-1)),res_Name,0),IFERROR(MATCH(TRIM(LEFT(Tasks[[#This Row],[_Res4Text]],FIND("[",Tasks[[#This Row],[_Res4Text]]&amp;"[")-1)),res_Initials,0),0)))</f>
        <v>0</v>
      </c>
      <c r="DL159" s="42" t="str">
        <f aca="false">IF(Tasks[[#This Row],[_Res1Text]]="","",IF(Tasks[[#This Row],[_Res1Row]]&gt;0,INDEX(res_Name,Tasks[[#This Row],[_Res1Row]]),TRIM(LEFT(Tasks[[#This Row],[_Res1Text]],FIND("[",Tasks[[#This Row],[_Res1Text]]&amp;"[")-1))))</f>
        <v/>
      </c>
      <c r="DM1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9" s="42" t="n">
        <f aca="false">IF(NOT(Tasks[[#This Row],[_IsLeaf]]=1),0,(Tasks[[#This Row],[_Resource1]]&lt;&gt;"")+(Tasks[[#This Row],[_Res2]]&lt;&gt;"")+(Tasks[[#This Row],[_Res3]]&lt;&gt;"")+(Tasks[[#This Row],[_Res4]]&lt;&gt;""))</f>
        <v>0</v>
      </c>
      <c r="DO159" s="42" t="str">
        <f aca="false">IF(Tasks[[#This Row],[_Res2Text]]="","",IF(Tasks[[#This Row],[_Res2Row]]&gt;0,INDEX(res_Name,Tasks[[#This Row],[_Res2Row]]),TRIM(LEFT(Tasks[[#This Row],[_Res2Text]],FIND("[",Tasks[[#This Row],[_Res2Text]]&amp;"[")-1))))</f>
        <v/>
      </c>
      <c r="DP1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9" s="42" t="n">
        <f aca="false">IF(OR(NOT(Tasks[[#This Row],[_IsLeaf]]=1),Tasks[[#This Row],[_Res2Row]]=0),0,N(Tasks[[#This Row],[_Days]])*HoursPerDay*IF(Tasks[[#This Row],[_Res2Units]]="",DefaultUnits,Tasks[[#This Row],[_Res2Units]]))</f>
        <v>0</v>
      </c>
      <c r="DR159" s="42" t="n">
        <f aca="false">IF(AND(AND(Tasks[[#This Row],[_IsLeaf]]=1,Tasks[[#This Row],[_LeafTotalWork]]&gt;0),Tasks[[#This Row],[_Res2Work]]&gt;0),Tasks[[#This Row],[_Res2Work]]/(Tasks[[#This Row],[_FinishWorkday]]-Tasks[[#This Row],[_StartWorkday]]+1),0)</f>
        <v>0</v>
      </c>
      <c r="DS159" s="42" t="n">
        <f aca="false">Tasks[[#This Row],[_Res2WorkPerWD]]*MAX(0,Tasks[[#This Row],[_StartWorkday]]-1)</f>
        <v>0</v>
      </c>
      <c r="DT159" s="42" t="n">
        <f aca="false">Tasks[[#This Row],[_Res2Work]]*Tasks[[#This Row],[_LeafProgress]]</f>
        <v>0</v>
      </c>
      <c r="DU159" s="42" t="str">
        <f aca="false">IF(Tasks[[#This Row],[_Res3Text]]="","",IF(Tasks[[#This Row],[_Res3Row]]&gt;0,INDEX(res_Name,Tasks[[#This Row],[_Res3Row]]),TRIM(LEFT(Tasks[[#This Row],[_Res3Text]],FIND("[",Tasks[[#This Row],[_Res3Text]]&amp;"[")-1))))</f>
        <v/>
      </c>
      <c r="DV1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9" s="42" t="n">
        <f aca="false">IF(OR(NOT(Tasks[[#This Row],[_IsLeaf]]=1),Tasks[[#This Row],[_Res3Row]]=0),0,N(Tasks[[#This Row],[_Days]])*HoursPerDay*IF(Tasks[[#This Row],[_Res3Units]]="",DefaultUnits,Tasks[[#This Row],[_Res3Units]]))</f>
        <v>0</v>
      </c>
      <c r="DX159" s="42" t="n">
        <f aca="false">IF(AND(AND(Tasks[[#This Row],[_IsLeaf]]=1,Tasks[[#This Row],[_LeafTotalWork]]&gt;0),Tasks[[#This Row],[_Res3Work]]&gt;0),Tasks[[#This Row],[_Res3Work]]/(Tasks[[#This Row],[_FinishWorkday]]-Tasks[[#This Row],[_StartWorkday]]+1),0)</f>
        <v>0</v>
      </c>
      <c r="DY159" s="42" t="n">
        <f aca="false">Tasks[[#This Row],[_Res3WorkPerWD]]*MAX(0,Tasks[[#This Row],[_StartWorkday]]-1)</f>
        <v>0</v>
      </c>
      <c r="DZ159" s="42" t="n">
        <f aca="false">Tasks[[#This Row],[_Res3Work]]*Tasks[[#This Row],[_LeafProgress]]</f>
        <v>0</v>
      </c>
      <c r="EA159" s="42" t="str">
        <f aca="false">IF(Tasks[[#This Row],[_Res4Text]]="","",IF(Tasks[[#This Row],[_Res4Row]]&gt;0,INDEX(res_Name,Tasks[[#This Row],[_Res4Row]]),TRIM(LEFT(Tasks[[#This Row],[_Res4Text]],FIND("[",Tasks[[#This Row],[_Res4Text]]&amp;"[")-1))))</f>
        <v/>
      </c>
      <c r="EB1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9" s="42" t="n">
        <f aca="false">IF(OR(NOT(Tasks[[#This Row],[_IsLeaf]]=1),Tasks[[#This Row],[_Res4Row]]=0),0,N(Tasks[[#This Row],[_Days]])*HoursPerDay*IF(Tasks[[#This Row],[_Res4Units]]="",DefaultUnits,Tasks[[#This Row],[_Res4Units]]))</f>
        <v>0</v>
      </c>
      <c r="ED159" s="42" t="n">
        <f aca="false">IF(AND(AND(Tasks[[#This Row],[_IsLeaf]]=1,Tasks[[#This Row],[_LeafTotalWork]]&gt;0),Tasks[[#This Row],[_Res4Work]]&gt;0),Tasks[[#This Row],[_Res4Work]]/(Tasks[[#This Row],[_FinishWorkday]]-Tasks[[#This Row],[_StartWorkday]]+1),0)</f>
        <v>0</v>
      </c>
      <c r="EE159" s="42" t="n">
        <f aca="false">Tasks[[#This Row],[_Res4WorkPerWD]]*MAX(0,Tasks[[#This Row],[_StartWorkday]]-1)</f>
        <v>0</v>
      </c>
      <c r="EF159" s="42" t="n">
        <f aca="false">Tasks[[#This Row],[_Res4Work]]*Tasks[[#This Row],[_LeafProgress]]</f>
        <v>0</v>
      </c>
      <c r="EG159" s="42" t="n">
        <f aca="false">IF(ISNUMBER(Tasks[[#This Row],[% Complete]]),Tasks[[#This Row],[% Complete]],IF(Tasks[[#This Row],[Stage]]="",0,IFERROR(INDEX(stg_Pct,MATCH(Tasks[[#This Row],[Stage]],stg_Name,0)),0)))</f>
        <v>0</v>
      </c>
      <c r="EH159" s="42" t="n">
        <f aca="false">IF(NOT(Tasks[[#This Row],[_IsLeaf]]=1),0,IF(N(Tasks[[#This Row],[Actual Finish]])&gt;0,1,MIN(1,Tasks[[#This Row],[_Pct]])))</f>
        <v>0</v>
      </c>
      <c r="EI159" s="42" t="n">
        <f aca="false">IF(OR(NOT(Tasks[[#This Row],[_IsLeaf]]=1),Tasks[[#This Row],[_Res1Row]]=0),0,N(Tasks[[#This Row],[_Days]])*HoursPerDay*IF(Tasks[[#This Row],[_Units1]]="",DefaultUnits,Tasks[[#This Row],[_Units1]]))</f>
        <v>0</v>
      </c>
      <c r="EJ159" s="42" t="n">
        <f aca="false">Tasks[[#This Row],[_LeafWork]]+Tasks[[#This Row],[_Res2Work]]+Tasks[[#This Row],[_Res3Work]]+Tasks[[#This Row],[_Res4Work]]</f>
        <v>0</v>
      </c>
      <c r="EK1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9" s="42" t="n">
        <f aca="false">IF(NOT(Tasks[[#This Row],[_IsLeaf]]=1),0,MAX(_xlfn.MAXIFS(Tasks[_Row],Tasks[_Pred1UID],Tasks[[#This Row],[UID]]),_xlfn.MAXIFS(Tasks[_Row],Tasks[_Pred2UID],Tasks[[#This Row],[UID]]),_xlfn.MAXIFS(Tasks[_Row],Tasks[_Pred3UID],Tasks[[#This Row],[UID]]),_xlfn.MAXIFS(Tasks[_Row],Tasks[_Pred4UID],Tasks[[#This Row],[UID]])))</f>
        <v>0</v>
      </c>
      <c r="ET1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9" s="89" t="str">
        <f aca="false">IF(NOT(Tasks[[#This Row],[_IsLeaf]]=1),"",IF(N(Tasks[[#This Row],[_Days]])&lt;=0,Tasks[[#This Row],[_LeafLateFinish]],WORKDAY.INTL(Tasks[[#This Row],[_LeafLateFinish]],-(Tasks[[#This Row],[_Days]]-1),WorkWeek,Holidays)))</f>
        <v/>
      </c>
      <c r="EW1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9" s="88" t="b">
        <f aca="false">AND(Tasks[[#This Row],[_IsLeaf]]=1,Tasks[[#This Row],[_LeafProgress]]&lt;1,N(Tasks[[#This Row],[_LeafTotalSlack]])&lt;=CriticalSlackDays)</f>
        <v>0</v>
      </c>
      <c r="EY159" s="42" t="n">
        <f aca="false">IF(AND(Tasks[[#This Row],[_IsLeaf]]=1,Tasks[[#This Row],[_ConstraintCode]]=1,Tasks[[#This Row],[Mode]]&lt;&gt;"Manual",N(Tasks[[#This Row],[Actual Start]])=0),MAX(0,N(Tasks[[#This Row],[Free Slack]])),0)</f>
        <v>0</v>
      </c>
      <c r="EZ159" s="89" t="str">
        <f aca="false">IF(NOT(Tasks[[#This Row],[_IsLeaf]]=1),"",IF(Tasks[[#This Row],[_AlapShift]]=0,Tasks[[#This Row],[_LeafCalcStart]],WORKDAY.INTL(Tasks[[#This Row],[_LeafCalcStart]],Tasks[[#This Row],[_AlapShift]],WorkWeek,Holidays)))</f>
        <v/>
      </c>
      <c r="FA159" s="89" t="str">
        <f aca="false">IF(NOT(Tasks[[#This Row],[_IsLeaf]]=1),"",IF(Tasks[[#This Row],[_AlapShift]]=0,Tasks[[#This Row],[_LeafCalcFinish]],WORKDAY.INTL(Tasks[[#This Row],[_LeafCalcFinish]],Tasks[[#This Row],[_AlapShift]],WorkWeek,Holidays)))</f>
        <v/>
      </c>
      <c r="FB159" s="89" t="str">
        <f aca="false">IF(NOT(Tasks[[#This Row],[_IsLeaf]]=1),"",IF(Tasks[[#This Row],[_AlapShift]]=0,Tasks[[#This Row],[_LeafFcstStart]],WORKDAY.INTL(Tasks[[#This Row],[_LeafFcstStart]],Tasks[[#This Row],[_AlapShift]],WorkWeek,Holidays)))</f>
        <v/>
      </c>
      <c r="FC159" s="89" t="str">
        <f aca="false">IF(NOT(Tasks[[#This Row],[_IsLeaf]]=1),"",IF(Tasks[[#This Row],[_AlapShift]]=0,Tasks[[#This Row],[_LeafFcstFinish]],WORKDAY.INTL(Tasks[[#This Row],[_LeafFcstFinish]],Tasks[[#This Row],[_AlapShift]],WorkWeek,Holidays)))</f>
        <v/>
      </c>
      <c r="FD159" s="89" t="str">
        <f aca="false">IF(Tasks[[#This Row],[Task Name]]="","",IF(Tasks[[#This Row],[_IsSummary]],MIN(INDEX(Tasks[_ShownCalcStart],Tasks[[#This Row],[_Row]]+1):INDEX(Tasks[_ShownCalcStart],Tasks[[#This Row],[_Row]]+Tasks[[#This Row],[_Descendants]])),Tasks[[#This Row],[_ShownCalcStart]]))</f>
        <v/>
      </c>
      <c r="FE159" s="89" t="str">
        <f aca="false">IF(Tasks[[#This Row],[Task Name]]="","",IF(Tasks[[#This Row],[_IsSummary]],MAX(INDEX(Tasks[_ShownCalcFinish],Tasks[[#This Row],[_Row]]+1):INDEX(Tasks[_ShownCalcFinish],Tasks[[#This Row],[_Row]]+Tasks[[#This Row],[_Descendants]])),Tasks[[#This Row],[_ShownCalcFinish]]))</f>
        <v/>
      </c>
      <c r="FF1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9" s="42" t="n">
        <f aca="false">IF(AND(Tasks[[#This Row],[_IsLeaf]]=1,Tasks[[#This Row],[_LeafTotalWork]]&gt;0),NETWORKDAYS.INTL(ProjectStart,Tasks[[#This Row],[_ShownFcstStart]],WorkWeek,Holidays),0)</f>
        <v>0</v>
      </c>
      <c r="FS159" s="42" t="n">
        <f aca="false">IF(AND(Tasks[[#This Row],[_IsLeaf]]=1,Tasks[[#This Row],[_LeafTotalWork]]&gt;0),MAX(Tasks[[#This Row],[_StartWorkday]],NETWORKDAYS.INTL(ProjectStart,Tasks[[#This Row],[_ShownFcstFinish]],WorkWeek,Holidays)),0)</f>
        <v>0</v>
      </c>
      <c r="FT159" s="42" t="n">
        <f aca="false">IF(AND(Tasks[[#This Row],[_IsLeaf]]=1,Tasks[[#This Row],[_LeafTotalWork]]&gt;0),Tasks[[#This Row],[_LeafWork]]/(Tasks[[#This Row],[_FinishWorkday]]-Tasks[[#This Row],[_StartWorkday]]+1),0)</f>
        <v>0</v>
      </c>
      <c r="FU159" s="42" t="n">
        <f aca="false">Tasks[[#This Row],[_WorkPerWorkday]]*(Tasks[[#This Row],[_StartWorkday]]-1)</f>
        <v>-0</v>
      </c>
      <c r="FV159" s="42" t="n">
        <f aca="false">IF(Tasks[[#This Row],[_IsLeaf]]=1,MAX(N(Tasks[[#This Row],[_Days]]),0.1),0)</f>
        <v>0</v>
      </c>
      <c r="FW159" s="42" t="n">
        <f aca="false">Tasks[[#This Row],[_WeightDur]]*Tasks[[#This Row],[_LeafProgress]]</f>
        <v>0</v>
      </c>
      <c r="FX159" s="42" t="n">
        <f aca="false">Tasks[[#This Row],[_WeightDur]]*Tasks[[#This Row],[_PlannedPct]]</f>
        <v>0</v>
      </c>
      <c r="FY1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9" s="42" t="str">
        <f aca="false">IF(AND(Tasks[[#This Row],[_IsLeaf]]=1,N(Tasks[[#This Row],[_Days]])=0,Tasks[[#This Row],[_LeafProgress]]&lt;1),Tasks[[#This Row],[_ShownFcstFinish]]+Tasks[[#This Row],[_Row]]/100000,"")</f>
        <v/>
      </c>
      <c r="GA1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9" s="42" t="str">
        <f aca="false">IF(Tasks[[#This Row],[Task Name]]="","",LEFT(Tasks[[#This Row],[WBS]],FIND(".",Tasks[[#This Row],[WBS]]&amp;".")-1))</f>
        <v/>
      </c>
      <c r="GC159" s="42" t="str">
        <f aca="false">IF(AND(Tasks[[#This Row],[Task Name]]&lt;&gt;"",Tasks[[#This Row],[_Level]]=1),Tasks[[#This Row],[_Row]],"")</f>
        <v/>
      </c>
      <c r="GD159" s="42" t="str">
        <f aca="false">IF(AND(Tasks[[#This Row],[_IsLeaf]]=1,N(Tasks[[#This Row],[_Days]])=0),Tasks[[#This Row],[Planned Finish]]+Tasks[[#This Row],[_Row]]/100000,"")</f>
        <v/>
      </c>
      <c r="GE159" s="42" t="str">
        <f aca="false">IF(AND(Tasks[[#This Row],[_IsLeaf]]=1,Tasks[[#This Row],[_LeafProgress]]&lt;1,OR(N(Tasks[[#This Row],[Finish Var]])&gt;0,Tasks[[#This Row],[Status]]="Late Start")),MAX(0,Tasks[[#This Row],[Finish Var]])+1-Tasks[[#This Row],[_Row]]/1000000,"")</f>
        <v/>
      </c>
      <c r="GF159" s="42" t="str">
        <f aca="false">IF(AND(Tasks[[#This Row],[_IsLeaf]]=1,N(Tasks[[#This Row],[Actual Start]])=0,Tasks[[#This Row],[_ShownFcstStart]]&gt;=StatusDate,Tasks[[#This Row],[_ShownFcstStart]]&lt;=LookaheadEnd),Tasks[[#This Row],[_ShownFcstStart]]+Tasks[[#This Row],[_Row]]/100000,"")</f>
        <v/>
      </c>
      <c r="GG159" s="42" t="str">
        <f aca="false">IF(AND(Tasks[[#This Row],[_IsLeaf]]=1,Tasks[[#This Row],[_LeafProgress]]&lt;1,Tasks[[#This Row],[_ShownFcstFinish]]&gt;=StatusDate,Tasks[[#This Row],[_ShownFcstFinish]]&lt;=LookaheadEnd),Tasks[[#This Row],[_ShownFcstFinish]]+Tasks[[#This Row],[_Row]]/100000,"")</f>
        <v/>
      </c>
      <c r="GH159" s="42" t="str">
        <f aca="false">IF(Tasks[[#This Row],[_LeafCritical]],Tasks[[#This Row],[_ShownFcstStart]]+Tasks[[#This Row],[_Row]]/100000,"")</f>
        <v/>
      </c>
      <c r="GI159" s="42" t="n">
        <f aca="false">Tasks[[#This Row],[_LeafWork]]*Tasks[[#This Row],[_LeafProgress]]</f>
        <v>0</v>
      </c>
      <c r="GJ159" s="89" t="str">
        <f aca="false">IF(AND(Tasks[[#This Row],[_IsLeaf]]=1,Tasks[[#This Row],[_LeafProgress]]&gt;=1),IF(N(Tasks[[#This Row],[Actual Finish]])&gt;0,Tasks[[#This Row],[Actual Finish]],Tasks[[#This Row],[_ShownFcstFinish]]),"")</f>
        <v/>
      </c>
      <c r="GK159" s="42" t="n">
        <f aca="false">IF(Tasks[[#This Row],[_IsLeaf]]=1,N(Tasks[[#This Row],[Story Points]]),0)</f>
        <v>0</v>
      </c>
      <c r="GL159" s="42" t="str">
        <f aca="false">""</f>
        <v/>
      </c>
      <c r="GM159" s="88" t="b">
        <f aca="false">IF(Tasks[[#This Row],[Task Name]]="",FALSE(),AND(Tasks[[#This Row],[_IsLeaf]]=1,N(Tasks[[#This Row],[_Days]])=0))</f>
        <v>0</v>
      </c>
      <c r="GN159" s="89" t="n">
        <f aca="false">IF(Tasks[[#This Row],[Task Name]]="",0,IF(AND(Tasks[[#This Row],[_IsLeaf]]=1,NOT(Tasks[[#This Row],[_IsMilestone]]),N(Tasks[[#This Row],[Progress]])&gt;0),Tasks[[#This Row],[Start]],0))</f>
        <v>0</v>
      </c>
      <c r="GO159" s="89" t="n">
        <f aca="false">IF(Tasks[[#This Row],[_DoneFrom]]=0,0,IF(Tasks[[#This Row],[Progress]]&gt;=1,Tasks[[#This Row],[Finish]],MAX(Tasks[[#This Row],[_DoneFrom]],Tasks[[#This Row],[Start]]+ROUND((Tasks[[#This Row],[Finish]]-Tasks[[#This Row],[Start]]+1)*Tasks[[#This Row],[Progress]],0)-1)))</f>
        <v>0</v>
      </c>
      <c r="GP159" s="89" t="n">
        <f aca="false">IF(Tasks[[#This Row],[Task Name]]="",0,IF(OR(NOT(Tasks[[#This Row],[_IsLeaf]]=1),Tasks[[#This Row],[_IsMilestone]],N(Tasks[[#This Row],[Progress]])&gt;=1),0,IF(Tasks[[#This Row],[_DoneTo]]&gt;0,Tasks[[#This Row],[_DoneTo]]+1,Tasks[[#This Row],[Start]])))</f>
        <v>0</v>
      </c>
      <c r="GQ159" s="89" t="n">
        <f aca="false">IF(Tasks[[#This Row],[_RemFrom]]=0,0,Tasks[[#This Row],[Finish]])</f>
        <v>0</v>
      </c>
      <c r="GR159" s="88" t="b">
        <f aca="false">IF(Tasks[[#This Row],[Task Name]]="",FALSE(),OR(NOT(BaselineSet),N(Tasks[[#This Row],[Baseline Start]])&gt;0))</f>
        <v>0</v>
      </c>
      <c r="GS1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9" s="90" t="str">
        <f aca="false">IF(Tasks[[#This Row],[_IsLeaf]]=1,Tasks[[#This Row],[_Row]],"")</f>
        <v/>
      </c>
      <c r="GW159" s="90" t="str">
        <f aca="false">IFERROR(INDEX(Tasks[UID],SMALL(Tasks[_PickKey],Tasks[[#This Row],[_Row]]))&amp;" "&amp;INDEX(Tasks[Task Name],SMALL(Tasks[_PickKey],Tasks[[#This Row],[_Row]])),"")</f>
        <v/>
      </c>
      <c r="GX159" s="42" t="str">
        <f aca="false">IF(Tasks[[#This Row],[Task Name]]="","",IF(Tasks[[#This Row],[_IsSummary]],NETWORKDAYS.INTL(Tasks[[#This Row],[Start]],Tasks[[#This Row],[Finish]],WorkWeek,Holidays),N(Tasks[[#This Row],[_Days]])))</f>
        <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3"/>
      <c r="U160" s="23"/>
      <c r="V160" s="83"/>
      <c r="W160" s="23"/>
      <c r="X160" s="83"/>
      <c r="Y160" s="23"/>
      <c r="Z160" s="83"/>
      <c r="AA160" s="23"/>
      <c r="AB160" s="23"/>
      <c r="AC160" s="7"/>
      <c r="AD160" s="7"/>
      <c r="AE160" s="62" t="str">
        <f aca="false">IF(Tasks[[#This Row],[Task Name]]="","",IF(Tasks[[#This Row],[_IsSummary]],MIN(INDEX(Tasks[_ShownFcstStart],Tasks[[#This Row],[_Row]]+1):INDEX(Tasks[_ShownFcstStart],Tasks[[#This Row],[_Row]]+Tasks[[#This Row],[_Descendants]])),Tasks[[#This Row],[_ShownFcstStart]]))</f>
        <v/>
      </c>
      <c r="AF160" s="62"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0" s="7"/>
      <c r="AK160" s="22"/>
      <c r="AL160" s="23"/>
      <c r="AM160" s="7"/>
      <c r="AN160" s="46"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2" t="str">
        <f aca="false">IF(Tasks[[#This Row],[Task Name]]="","",IF(N(Tasks[[#This Row],[Baseline Start]])&gt;0,Tasks[[#This Row],[Baseline Start]],Tasks[[#This Row],[_CalcStart]]))</f>
        <v/>
      </c>
      <c r="AR160" s="62" t="str">
        <f aca="false">IF(Tasks[[#This Row],[Task Name]]="","",IF(N(Tasks[[#This Row],[Baseline Finish]])&gt;0,Tasks[[#This Row],[Baseline Finish]],Tasks[[#This Row],[_CalcFinish]]))</f>
        <v/>
      </c>
      <c r="AS160" s="46" t="str">
        <f aca="false">IF(Tasks[[#This Row],[Task Name]]="","",IF(Tasks[[#This Row],[Start]]&gt;=Tasks[[#This Row],[Planned Start]],NETWORKDAYS.INTL(Tasks[[#This Row],[Planned Start]],Tasks[[#This Row],[Start]],WorkWeek,Holidays)-1,1-NETWORKDAYS.INTL(Tasks[[#This Row],[Start]],Tasks[[#This Row],[Planned Start]],WorkWeek,Holidays)))</f>
        <v/>
      </c>
      <c r="AT160" s="62" t="str">
        <f aca="false">IF(Tasks[[#This Row],[Task Name]]="","",IF(Tasks[[#This Row],[_IsSummary]],MIN(INDEX(Tasks[_LeafLateStart],Tasks[[#This Row],[_Row]]+1):INDEX(Tasks[_LeafLateStart],Tasks[[#This Row],[_Row]]+Tasks[[#This Row],[_Descendants]])),Tasks[[#This Row],[_LeafLateStart]]))</f>
        <v/>
      </c>
      <c r="AU160" s="62" t="str">
        <f aca="false">IF(Tasks[[#This Row],[Task Name]]="","",IF(Tasks[[#This Row],[_IsSummary]],MAX(INDEX(Tasks[_LeafLateFinish],Tasks[[#This Row],[_Row]]+1):INDEX(Tasks[_LeafLateFinish],Tasks[[#This Row],[_Row]]+Tasks[[#This Row],[_Descendants]])),Tasks[[#This Row],[_LeafLateFinish]]))</f>
        <v/>
      </c>
      <c r="AV160" s="46"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4"/>
      <c r="BA1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5"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6"/>
      <c r="BJ160" s="22"/>
      <c r="BK160" s="46" t="str">
        <f aca="false">IF(OR(Tasks[[#This Row],[Task Name]]="",Tasks[[#This Row],[Baseline Duration]]=""),"",Tasks[[#This Row],[_SpanDays]]-N(Tasks[[#This Row],[Baseline Duration]]))</f>
        <v/>
      </c>
      <c r="BL160" s="85" t="str">
        <f aca="false">IF(OR(Tasks[[#This Row],[Task Name]]="",Tasks[[#This Row],[Baseline Work]]=""),"",Tasks[[#This Row],[Work]]-N(Tasks[[#This Row],[Baseline Work]]))</f>
        <v/>
      </c>
      <c r="BM160" s="62" t="str">
        <f aca="false">IF(Tasks[[#This Row],[Task Name]]="","",IF(OR(TakeBaseline="Yes",N(Tasks[[#This Row],[Baseline Start]])=0),Tasks[[#This Row],[Start]],Tasks[[#This Row],[Baseline Start]]))</f>
        <v/>
      </c>
      <c r="BN160" s="62"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5" t="str">
        <f aca="false">IF(Tasks[[#This Row],[Task Name]]="","",IF(OR(TakeBaseline="Yes",N(Tasks[[#This Row],[Baseline Work]])=0),Tasks[[#This Row],[Work]],Tasks[[#This Row],[Baseline Work]]))</f>
        <v/>
      </c>
      <c r="BQ160" s="7"/>
      <c r="BR160" s="7"/>
      <c r="BS160" s="22"/>
      <c r="BT160" s="87"/>
      <c r="BU160" s="42" t="str">
        <f aca="false">IF(Tasks[[#This Row],[Task Name]]="","",MAX(1,N(Tasks[[#This Row],[Level]])))</f>
        <v/>
      </c>
      <c r="BV160" s="42" t="n">
        <f aca="false">ROW()-ROW(Tasks[[#Headers],[ID]])</f>
        <v>155</v>
      </c>
      <c r="BW160" s="42" t="n">
        <f aca="false">IF(OR(Tasks[[#This Row],[Task Name]]="",Tasks[[#This Row],[_Level]]&lt;=1),0,IFERROR(LOOKUP(2,1/(Tasks[[#Headers],[_Level]]:Tasks[[#This Row],[_Level]]=Tasks[[#This Row],[_Level]]-1),ROW(Tasks[[#Headers],[_Level]]:Tasks[[#This Row],[_Level]])),0))</f>
        <v>0</v>
      </c>
      <c r="BX160" s="42" t="n">
        <f aca="false">IFERROR(N(INDEX(Tasks[_Level],Tasks[[#This Row],[_Row]]+1)),0)</f>
        <v>0</v>
      </c>
      <c r="BY160" s="88" t="b">
        <f aca="false">AND(Tasks[[#This Row],[Task Name]]&lt;&gt;"",Tasks[[#This Row],[_NextLevel]]&gt;Tasks[[#This Row],[_Level]])</f>
        <v>0</v>
      </c>
      <c r="BZ160" s="42" t="n">
        <f aca="false">IF(Tasks[[#This Row],[_IsSummary]],COUNTIF(Tasks[WBS],Tasks[[#This Row],[WBS]]&amp;".*"),0)</f>
        <v>0</v>
      </c>
      <c r="CA160" s="42" t="n">
        <f aca="false">IF(AND(Tasks[[#This Row],[Task Name]]&lt;&gt;"",NOT(Tasks[[#This Row],[_IsSummary]])),1,0)</f>
        <v>0</v>
      </c>
      <c r="CB160" s="42" t="n">
        <f aca="false">IF(N(Tasks[[#This Row],[_Pred1UID]])=0,0,IFERROR(MATCH(Tasks[[#This Row],[_Pred1UID]],Tasks[UID],0),-1))</f>
        <v>0</v>
      </c>
      <c r="CC160" s="42" t="n">
        <f aca="false">IF(N(Tasks[[#This Row],[_Pred2UID]])=0,0,IFERROR(MATCH(Tasks[[#This Row],[_Pred2UID]],Tasks[UID],0),-1))</f>
        <v>0</v>
      </c>
      <c r="CD160" s="42" t="n">
        <f aca="false">IF(N(Tasks[[#This Row],[_Pred3UID]])=0,0,IFERROR(MATCH(Tasks[[#This Row],[_Pred3UID]],Tasks[UID],0),-1))</f>
        <v>0</v>
      </c>
      <c r="CE160" s="42" t="n">
        <f aca="false">IF(N(Tasks[[#This Row],[_Pred4UID]])=0,0,IFERROR(MATCH(Tasks[[#This Row],[_Pred4UID]],Tasks[UID],0),-1))</f>
        <v>0</v>
      </c>
      <c r="CF1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0" s="89" t="n">
        <f aca="false">IF(OR(Tasks[[#This Row],[_ConstraintCode]]=2,Tasks[[#This Row],[_ConstraintCode]]=3,Tasks[[#This Row],[_ConstraintCode]]=4,Tasks[[#This Row],[_ConstraintCode]]=6),Tasks[[#This Row],[_ConstraintStart]],0)</f>
        <v>0</v>
      </c>
      <c r="CI160" s="89" t="n">
        <f aca="false">IF(OR(Tasks[[#This Row],[_ConstraintCode]]=2,Tasks[[#This Row],[_ConstraintCode]]=3,Tasks[[#This Row],[_ConstraintCode]]=5,Tasks[[#This Row],[_ConstraintCode]]=7),Tasks[[#This Row],[_ConstraintStart]],2958465)</f>
        <v>2958465</v>
      </c>
      <c r="CJ1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0" s="89" t="str">
        <f aca="false">IF(NOT(Tasks[[#This Row],[_IsLeaf]]=1),"",IF(N(Tasks[[#This Row],[_Days]])&lt;=0,Tasks[[#This Row],[_LeafCalcStart]],WORKDAY.INTL(Tasks[[#This Row],[_LeafCalcStart]],Tasks[[#This Row],[_Days]]-1,WorkWeek,Holidays)))</f>
        <v/>
      </c>
      <c r="CL1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0" s="42" t="str">
        <f aca="false">IF(Tasks[[#This Row],[_Predecessors]]="","",TRIM(MID(SUBSTITUTE(SUBSTITUTE(SUBSTITUTE(UPPER(Tasks[[#This Row],[_Predecessors]]),";",",")," ",""),",",REPT(" ",99)),1,99)))</f>
        <v/>
      </c>
      <c r="CO160" s="42" t="str">
        <f aca="false">IF(Tasks[[#This Row],[_Pred1Text]]="","",IFERROR(VALUE(LEFT(Tasks[[#This Row],[_Pred1Text]],MIN(FIND("F",Tasks[[#This Row],[_Pred1Text]]&amp;"F"),FIND("S",Tasks[[#This Row],[_Pred1Text]]&amp;"S"),FIND("+",Tasks[[#This Row],[_Pred1Text]]&amp;"+"),FIND("-",Tasks[[#This Row],[_Pred1Text]]&amp;"-"))-1)),""))</f>
        <v/>
      </c>
      <c r="CP1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0" s="42" t="str">
        <f aca="false">IF(Tasks[[#This Row],[_Pred1Text]]="","",TRIM(MID(SUBSTITUTE(SUBSTITUTE(SUBSTITUTE(UPPER(Tasks[[#This Row],[_Predecessors]]),";",",")," ",""),",",REPT(" ",99)),100,99)))</f>
        <v/>
      </c>
      <c r="CS160" s="42" t="str">
        <f aca="false">IF(Tasks[[#This Row],[_Pred2Text]]="","",IFERROR(VALUE(LEFT(Tasks[[#This Row],[_Pred2Text]],MIN(FIND("F",Tasks[[#This Row],[_Pred2Text]]&amp;"F"),FIND("S",Tasks[[#This Row],[_Pred2Text]]&amp;"S"),FIND("+",Tasks[[#This Row],[_Pred2Text]]&amp;"+"),FIND("-",Tasks[[#This Row],[_Pred2Text]]&amp;"-"))-1)),""))</f>
        <v/>
      </c>
      <c r="CT1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0" s="42" t="str">
        <f aca="false">IF(Tasks[[#This Row],[_Pred2Text]]="","",TRIM(MID(SUBSTITUTE(SUBSTITUTE(SUBSTITUTE(UPPER(Tasks[[#This Row],[_Predecessors]]),";",",")," ",""),",",REPT(" ",99)),199,99)))</f>
        <v/>
      </c>
      <c r="CW160" s="42" t="str">
        <f aca="false">IF(Tasks[[#This Row],[_Pred3Text]]="","",IFERROR(VALUE(LEFT(Tasks[[#This Row],[_Pred3Text]],MIN(FIND("F",Tasks[[#This Row],[_Pred3Text]]&amp;"F"),FIND("S",Tasks[[#This Row],[_Pred3Text]]&amp;"S"),FIND("+",Tasks[[#This Row],[_Pred3Text]]&amp;"+"),FIND("-",Tasks[[#This Row],[_Pred3Text]]&amp;"-"))-1)),""))</f>
        <v/>
      </c>
      <c r="CX1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0" s="42" t="str">
        <f aca="false">IF(Tasks[[#This Row],[_Pred3Text]]="","",TRIM(MID(SUBSTITUTE(SUBSTITUTE(SUBSTITUTE(UPPER(Tasks[[#This Row],[_Predecessors]]),";",",")," ",""),",",REPT(" ",99)),298,99)))</f>
        <v/>
      </c>
      <c r="DA160" s="42" t="str">
        <f aca="false">IF(Tasks[[#This Row],[_Pred4Text]]="","",IFERROR(VALUE(LEFT(Tasks[[#This Row],[_Pred4Text]],MIN(FIND("F",Tasks[[#This Row],[_Pred4Text]]&amp;"F"),FIND("S",Tasks[[#This Row],[_Pred4Text]]&amp;"S"),FIND("+",Tasks[[#This Row],[_Pred4Text]]&amp;"+"),FIND("-",Tasks[[#This Row],[_Pred4Text]]&amp;"-"))-1)),""))</f>
        <v/>
      </c>
      <c r="DB1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0" s="42" t="str">
        <f aca="false">IF(OR(Tasks[[#This Row],[Task Name]]="",Tasks[[#This Row],[_Resources]]=""),"",TRIM(MID(SUBSTITUTE(Tasks[[#This Row],[_Resources]],",",REPT(" ",99)),1,99)))</f>
        <v/>
      </c>
      <c r="DE160" s="42" t="str">
        <f aca="false">IF(Tasks[[#This Row],[_Res1Text]]="","",TRIM(MID(SUBSTITUTE(Tasks[[#This Row],[_Resources]],",",REPT(" ",99)),100,99)))</f>
        <v/>
      </c>
      <c r="DF160" s="42" t="str">
        <f aca="false">IF(Tasks[[#This Row],[_Res2Text]]="","",TRIM(MID(SUBSTITUTE(Tasks[[#This Row],[_Resources]],",",REPT(" ",99)),199,99)))</f>
        <v/>
      </c>
      <c r="DG160" s="42" t="str">
        <f aca="false">IF(Tasks[[#This Row],[_Res3Text]]="","",TRIM(MID(SUBSTITUTE(Tasks[[#This Row],[_Resources]],",",REPT(" ",99)),298,99)))</f>
        <v/>
      </c>
      <c r="DH160" s="42" t="n">
        <f aca="false">IF(Tasks[[#This Row],[_Res1Text]]="",0,IFERROR(MATCH(TRIM(LEFT(Tasks[[#This Row],[_Res1Text]],FIND("[",Tasks[[#This Row],[_Res1Text]]&amp;"[")-1)),res_Name,0),IFERROR(MATCH(TRIM(LEFT(Tasks[[#This Row],[_Res1Text]],FIND("[",Tasks[[#This Row],[_Res1Text]]&amp;"[")-1)),res_Initials,0),0)))</f>
        <v>0</v>
      </c>
      <c r="DI160" s="42" t="n">
        <f aca="false">IF(Tasks[[#This Row],[_Res2Text]]="",0,IFERROR(MATCH(TRIM(LEFT(Tasks[[#This Row],[_Res2Text]],FIND("[",Tasks[[#This Row],[_Res2Text]]&amp;"[")-1)),res_Name,0),IFERROR(MATCH(TRIM(LEFT(Tasks[[#This Row],[_Res2Text]],FIND("[",Tasks[[#This Row],[_Res2Text]]&amp;"[")-1)),res_Initials,0),0)))</f>
        <v>0</v>
      </c>
      <c r="DJ160" s="42" t="n">
        <f aca="false">IF(Tasks[[#This Row],[_Res3Text]]="",0,IFERROR(MATCH(TRIM(LEFT(Tasks[[#This Row],[_Res3Text]],FIND("[",Tasks[[#This Row],[_Res3Text]]&amp;"[")-1)),res_Name,0),IFERROR(MATCH(TRIM(LEFT(Tasks[[#This Row],[_Res3Text]],FIND("[",Tasks[[#This Row],[_Res3Text]]&amp;"[")-1)),res_Initials,0),0)))</f>
        <v>0</v>
      </c>
      <c r="DK160" s="42" t="n">
        <f aca="false">IF(Tasks[[#This Row],[_Res4Text]]="",0,IFERROR(MATCH(TRIM(LEFT(Tasks[[#This Row],[_Res4Text]],FIND("[",Tasks[[#This Row],[_Res4Text]]&amp;"[")-1)),res_Name,0),IFERROR(MATCH(TRIM(LEFT(Tasks[[#This Row],[_Res4Text]],FIND("[",Tasks[[#This Row],[_Res4Text]]&amp;"[")-1)),res_Initials,0),0)))</f>
        <v>0</v>
      </c>
      <c r="DL160" s="42" t="str">
        <f aca="false">IF(Tasks[[#This Row],[_Res1Text]]="","",IF(Tasks[[#This Row],[_Res1Row]]&gt;0,INDEX(res_Name,Tasks[[#This Row],[_Res1Row]]),TRIM(LEFT(Tasks[[#This Row],[_Res1Text]],FIND("[",Tasks[[#This Row],[_Res1Text]]&amp;"[")-1))))</f>
        <v/>
      </c>
      <c r="DM1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0" s="42" t="n">
        <f aca="false">IF(NOT(Tasks[[#This Row],[_IsLeaf]]=1),0,(Tasks[[#This Row],[_Resource1]]&lt;&gt;"")+(Tasks[[#This Row],[_Res2]]&lt;&gt;"")+(Tasks[[#This Row],[_Res3]]&lt;&gt;"")+(Tasks[[#This Row],[_Res4]]&lt;&gt;""))</f>
        <v>0</v>
      </c>
      <c r="DO160" s="42" t="str">
        <f aca="false">IF(Tasks[[#This Row],[_Res2Text]]="","",IF(Tasks[[#This Row],[_Res2Row]]&gt;0,INDEX(res_Name,Tasks[[#This Row],[_Res2Row]]),TRIM(LEFT(Tasks[[#This Row],[_Res2Text]],FIND("[",Tasks[[#This Row],[_Res2Text]]&amp;"[")-1))))</f>
        <v/>
      </c>
      <c r="DP1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0" s="42" t="n">
        <f aca="false">IF(OR(NOT(Tasks[[#This Row],[_IsLeaf]]=1),Tasks[[#This Row],[_Res2Row]]=0),0,N(Tasks[[#This Row],[_Days]])*HoursPerDay*IF(Tasks[[#This Row],[_Res2Units]]="",DefaultUnits,Tasks[[#This Row],[_Res2Units]]))</f>
        <v>0</v>
      </c>
      <c r="DR160" s="42" t="n">
        <f aca="false">IF(AND(AND(Tasks[[#This Row],[_IsLeaf]]=1,Tasks[[#This Row],[_LeafTotalWork]]&gt;0),Tasks[[#This Row],[_Res2Work]]&gt;0),Tasks[[#This Row],[_Res2Work]]/(Tasks[[#This Row],[_FinishWorkday]]-Tasks[[#This Row],[_StartWorkday]]+1),0)</f>
        <v>0</v>
      </c>
      <c r="DS160" s="42" t="n">
        <f aca="false">Tasks[[#This Row],[_Res2WorkPerWD]]*MAX(0,Tasks[[#This Row],[_StartWorkday]]-1)</f>
        <v>0</v>
      </c>
      <c r="DT160" s="42" t="n">
        <f aca="false">Tasks[[#This Row],[_Res2Work]]*Tasks[[#This Row],[_LeafProgress]]</f>
        <v>0</v>
      </c>
      <c r="DU160" s="42" t="str">
        <f aca="false">IF(Tasks[[#This Row],[_Res3Text]]="","",IF(Tasks[[#This Row],[_Res3Row]]&gt;0,INDEX(res_Name,Tasks[[#This Row],[_Res3Row]]),TRIM(LEFT(Tasks[[#This Row],[_Res3Text]],FIND("[",Tasks[[#This Row],[_Res3Text]]&amp;"[")-1))))</f>
        <v/>
      </c>
      <c r="DV1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0" s="42" t="n">
        <f aca="false">IF(OR(NOT(Tasks[[#This Row],[_IsLeaf]]=1),Tasks[[#This Row],[_Res3Row]]=0),0,N(Tasks[[#This Row],[_Days]])*HoursPerDay*IF(Tasks[[#This Row],[_Res3Units]]="",DefaultUnits,Tasks[[#This Row],[_Res3Units]]))</f>
        <v>0</v>
      </c>
      <c r="DX160" s="42" t="n">
        <f aca="false">IF(AND(AND(Tasks[[#This Row],[_IsLeaf]]=1,Tasks[[#This Row],[_LeafTotalWork]]&gt;0),Tasks[[#This Row],[_Res3Work]]&gt;0),Tasks[[#This Row],[_Res3Work]]/(Tasks[[#This Row],[_FinishWorkday]]-Tasks[[#This Row],[_StartWorkday]]+1),0)</f>
        <v>0</v>
      </c>
      <c r="DY160" s="42" t="n">
        <f aca="false">Tasks[[#This Row],[_Res3WorkPerWD]]*MAX(0,Tasks[[#This Row],[_StartWorkday]]-1)</f>
        <v>0</v>
      </c>
      <c r="DZ160" s="42" t="n">
        <f aca="false">Tasks[[#This Row],[_Res3Work]]*Tasks[[#This Row],[_LeafProgress]]</f>
        <v>0</v>
      </c>
      <c r="EA160" s="42" t="str">
        <f aca="false">IF(Tasks[[#This Row],[_Res4Text]]="","",IF(Tasks[[#This Row],[_Res4Row]]&gt;0,INDEX(res_Name,Tasks[[#This Row],[_Res4Row]]),TRIM(LEFT(Tasks[[#This Row],[_Res4Text]],FIND("[",Tasks[[#This Row],[_Res4Text]]&amp;"[")-1))))</f>
        <v/>
      </c>
      <c r="EB1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0" s="42" t="n">
        <f aca="false">IF(OR(NOT(Tasks[[#This Row],[_IsLeaf]]=1),Tasks[[#This Row],[_Res4Row]]=0),0,N(Tasks[[#This Row],[_Days]])*HoursPerDay*IF(Tasks[[#This Row],[_Res4Units]]="",DefaultUnits,Tasks[[#This Row],[_Res4Units]]))</f>
        <v>0</v>
      </c>
      <c r="ED160" s="42" t="n">
        <f aca="false">IF(AND(AND(Tasks[[#This Row],[_IsLeaf]]=1,Tasks[[#This Row],[_LeafTotalWork]]&gt;0),Tasks[[#This Row],[_Res4Work]]&gt;0),Tasks[[#This Row],[_Res4Work]]/(Tasks[[#This Row],[_FinishWorkday]]-Tasks[[#This Row],[_StartWorkday]]+1),0)</f>
        <v>0</v>
      </c>
      <c r="EE160" s="42" t="n">
        <f aca="false">Tasks[[#This Row],[_Res4WorkPerWD]]*MAX(0,Tasks[[#This Row],[_StartWorkday]]-1)</f>
        <v>0</v>
      </c>
      <c r="EF160" s="42" t="n">
        <f aca="false">Tasks[[#This Row],[_Res4Work]]*Tasks[[#This Row],[_LeafProgress]]</f>
        <v>0</v>
      </c>
      <c r="EG160" s="42" t="n">
        <f aca="false">IF(ISNUMBER(Tasks[[#This Row],[% Complete]]),Tasks[[#This Row],[% Complete]],IF(Tasks[[#This Row],[Stage]]="",0,IFERROR(INDEX(stg_Pct,MATCH(Tasks[[#This Row],[Stage]],stg_Name,0)),0)))</f>
        <v>0</v>
      </c>
      <c r="EH160" s="42" t="n">
        <f aca="false">IF(NOT(Tasks[[#This Row],[_IsLeaf]]=1),0,IF(N(Tasks[[#This Row],[Actual Finish]])&gt;0,1,MIN(1,Tasks[[#This Row],[_Pct]])))</f>
        <v>0</v>
      </c>
      <c r="EI160" s="42" t="n">
        <f aca="false">IF(OR(NOT(Tasks[[#This Row],[_IsLeaf]]=1),Tasks[[#This Row],[_Res1Row]]=0),0,N(Tasks[[#This Row],[_Days]])*HoursPerDay*IF(Tasks[[#This Row],[_Units1]]="",DefaultUnits,Tasks[[#This Row],[_Units1]]))</f>
        <v>0</v>
      </c>
      <c r="EJ160" s="42" t="n">
        <f aca="false">Tasks[[#This Row],[_LeafWork]]+Tasks[[#This Row],[_Res2Work]]+Tasks[[#This Row],[_Res3Work]]+Tasks[[#This Row],[_Res4Work]]</f>
        <v>0</v>
      </c>
      <c r="EK1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0" s="42" t="n">
        <f aca="false">IF(NOT(Tasks[[#This Row],[_IsLeaf]]=1),0,MAX(_xlfn.MAXIFS(Tasks[_Row],Tasks[_Pred1UID],Tasks[[#This Row],[UID]]),_xlfn.MAXIFS(Tasks[_Row],Tasks[_Pred2UID],Tasks[[#This Row],[UID]]),_xlfn.MAXIFS(Tasks[_Row],Tasks[_Pred3UID],Tasks[[#This Row],[UID]]),_xlfn.MAXIFS(Tasks[_Row],Tasks[_Pred4UID],Tasks[[#This Row],[UID]])))</f>
        <v>0</v>
      </c>
      <c r="ET1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0" s="89" t="str">
        <f aca="false">IF(NOT(Tasks[[#This Row],[_IsLeaf]]=1),"",IF(N(Tasks[[#This Row],[_Days]])&lt;=0,Tasks[[#This Row],[_LeafLateFinish]],WORKDAY.INTL(Tasks[[#This Row],[_LeafLateFinish]],-(Tasks[[#This Row],[_Days]]-1),WorkWeek,Holidays)))</f>
        <v/>
      </c>
      <c r="EW1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0" s="88" t="b">
        <f aca="false">AND(Tasks[[#This Row],[_IsLeaf]]=1,Tasks[[#This Row],[_LeafProgress]]&lt;1,N(Tasks[[#This Row],[_LeafTotalSlack]])&lt;=CriticalSlackDays)</f>
        <v>0</v>
      </c>
      <c r="EY160" s="42" t="n">
        <f aca="false">IF(AND(Tasks[[#This Row],[_IsLeaf]]=1,Tasks[[#This Row],[_ConstraintCode]]=1,Tasks[[#This Row],[Mode]]&lt;&gt;"Manual",N(Tasks[[#This Row],[Actual Start]])=0),MAX(0,N(Tasks[[#This Row],[Free Slack]])),0)</f>
        <v>0</v>
      </c>
      <c r="EZ160" s="89" t="str">
        <f aca="false">IF(NOT(Tasks[[#This Row],[_IsLeaf]]=1),"",IF(Tasks[[#This Row],[_AlapShift]]=0,Tasks[[#This Row],[_LeafCalcStart]],WORKDAY.INTL(Tasks[[#This Row],[_LeafCalcStart]],Tasks[[#This Row],[_AlapShift]],WorkWeek,Holidays)))</f>
        <v/>
      </c>
      <c r="FA160" s="89" t="str">
        <f aca="false">IF(NOT(Tasks[[#This Row],[_IsLeaf]]=1),"",IF(Tasks[[#This Row],[_AlapShift]]=0,Tasks[[#This Row],[_LeafCalcFinish]],WORKDAY.INTL(Tasks[[#This Row],[_LeafCalcFinish]],Tasks[[#This Row],[_AlapShift]],WorkWeek,Holidays)))</f>
        <v/>
      </c>
      <c r="FB160" s="89" t="str">
        <f aca="false">IF(NOT(Tasks[[#This Row],[_IsLeaf]]=1),"",IF(Tasks[[#This Row],[_AlapShift]]=0,Tasks[[#This Row],[_LeafFcstStart]],WORKDAY.INTL(Tasks[[#This Row],[_LeafFcstStart]],Tasks[[#This Row],[_AlapShift]],WorkWeek,Holidays)))</f>
        <v/>
      </c>
      <c r="FC160" s="89" t="str">
        <f aca="false">IF(NOT(Tasks[[#This Row],[_IsLeaf]]=1),"",IF(Tasks[[#This Row],[_AlapShift]]=0,Tasks[[#This Row],[_LeafFcstFinish]],WORKDAY.INTL(Tasks[[#This Row],[_LeafFcstFinish]],Tasks[[#This Row],[_AlapShift]],WorkWeek,Holidays)))</f>
        <v/>
      </c>
      <c r="FD160" s="89" t="str">
        <f aca="false">IF(Tasks[[#This Row],[Task Name]]="","",IF(Tasks[[#This Row],[_IsSummary]],MIN(INDEX(Tasks[_ShownCalcStart],Tasks[[#This Row],[_Row]]+1):INDEX(Tasks[_ShownCalcStart],Tasks[[#This Row],[_Row]]+Tasks[[#This Row],[_Descendants]])),Tasks[[#This Row],[_ShownCalcStart]]))</f>
        <v/>
      </c>
      <c r="FE160" s="89" t="str">
        <f aca="false">IF(Tasks[[#This Row],[Task Name]]="","",IF(Tasks[[#This Row],[_IsSummary]],MAX(INDEX(Tasks[_ShownCalcFinish],Tasks[[#This Row],[_Row]]+1):INDEX(Tasks[_ShownCalcFinish],Tasks[[#This Row],[_Row]]+Tasks[[#This Row],[_Descendants]])),Tasks[[#This Row],[_ShownCalcFinish]]))</f>
        <v/>
      </c>
      <c r="FF1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0" s="42" t="n">
        <f aca="false">IF(AND(Tasks[[#This Row],[_IsLeaf]]=1,Tasks[[#This Row],[_LeafTotalWork]]&gt;0),NETWORKDAYS.INTL(ProjectStart,Tasks[[#This Row],[_ShownFcstStart]],WorkWeek,Holidays),0)</f>
        <v>0</v>
      </c>
      <c r="FS160" s="42" t="n">
        <f aca="false">IF(AND(Tasks[[#This Row],[_IsLeaf]]=1,Tasks[[#This Row],[_LeafTotalWork]]&gt;0),MAX(Tasks[[#This Row],[_StartWorkday]],NETWORKDAYS.INTL(ProjectStart,Tasks[[#This Row],[_ShownFcstFinish]],WorkWeek,Holidays)),0)</f>
        <v>0</v>
      </c>
      <c r="FT160" s="42" t="n">
        <f aca="false">IF(AND(Tasks[[#This Row],[_IsLeaf]]=1,Tasks[[#This Row],[_LeafTotalWork]]&gt;0),Tasks[[#This Row],[_LeafWork]]/(Tasks[[#This Row],[_FinishWorkday]]-Tasks[[#This Row],[_StartWorkday]]+1),0)</f>
        <v>0</v>
      </c>
      <c r="FU160" s="42" t="n">
        <f aca="false">Tasks[[#This Row],[_WorkPerWorkday]]*(Tasks[[#This Row],[_StartWorkday]]-1)</f>
        <v>-0</v>
      </c>
      <c r="FV160" s="42" t="n">
        <f aca="false">IF(Tasks[[#This Row],[_IsLeaf]]=1,MAX(N(Tasks[[#This Row],[_Days]]),0.1),0)</f>
        <v>0</v>
      </c>
      <c r="FW160" s="42" t="n">
        <f aca="false">Tasks[[#This Row],[_WeightDur]]*Tasks[[#This Row],[_LeafProgress]]</f>
        <v>0</v>
      </c>
      <c r="FX160" s="42" t="n">
        <f aca="false">Tasks[[#This Row],[_WeightDur]]*Tasks[[#This Row],[_PlannedPct]]</f>
        <v>0</v>
      </c>
      <c r="FY1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0" s="42" t="str">
        <f aca="false">IF(AND(Tasks[[#This Row],[_IsLeaf]]=1,N(Tasks[[#This Row],[_Days]])=0,Tasks[[#This Row],[_LeafProgress]]&lt;1),Tasks[[#This Row],[_ShownFcstFinish]]+Tasks[[#This Row],[_Row]]/100000,"")</f>
        <v/>
      </c>
      <c r="GA1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0" s="42" t="str">
        <f aca="false">IF(Tasks[[#This Row],[Task Name]]="","",LEFT(Tasks[[#This Row],[WBS]],FIND(".",Tasks[[#This Row],[WBS]]&amp;".")-1))</f>
        <v/>
      </c>
      <c r="GC160" s="42" t="str">
        <f aca="false">IF(AND(Tasks[[#This Row],[Task Name]]&lt;&gt;"",Tasks[[#This Row],[_Level]]=1),Tasks[[#This Row],[_Row]],"")</f>
        <v/>
      </c>
      <c r="GD160" s="42" t="str">
        <f aca="false">IF(AND(Tasks[[#This Row],[_IsLeaf]]=1,N(Tasks[[#This Row],[_Days]])=0),Tasks[[#This Row],[Planned Finish]]+Tasks[[#This Row],[_Row]]/100000,"")</f>
        <v/>
      </c>
      <c r="GE160" s="42" t="str">
        <f aca="false">IF(AND(Tasks[[#This Row],[_IsLeaf]]=1,Tasks[[#This Row],[_LeafProgress]]&lt;1,OR(N(Tasks[[#This Row],[Finish Var]])&gt;0,Tasks[[#This Row],[Status]]="Late Start")),MAX(0,Tasks[[#This Row],[Finish Var]])+1-Tasks[[#This Row],[_Row]]/1000000,"")</f>
        <v/>
      </c>
      <c r="GF160" s="42" t="str">
        <f aca="false">IF(AND(Tasks[[#This Row],[_IsLeaf]]=1,N(Tasks[[#This Row],[Actual Start]])=0,Tasks[[#This Row],[_ShownFcstStart]]&gt;=StatusDate,Tasks[[#This Row],[_ShownFcstStart]]&lt;=LookaheadEnd),Tasks[[#This Row],[_ShownFcstStart]]+Tasks[[#This Row],[_Row]]/100000,"")</f>
        <v/>
      </c>
      <c r="GG160" s="42" t="str">
        <f aca="false">IF(AND(Tasks[[#This Row],[_IsLeaf]]=1,Tasks[[#This Row],[_LeafProgress]]&lt;1,Tasks[[#This Row],[_ShownFcstFinish]]&gt;=StatusDate,Tasks[[#This Row],[_ShownFcstFinish]]&lt;=LookaheadEnd),Tasks[[#This Row],[_ShownFcstFinish]]+Tasks[[#This Row],[_Row]]/100000,"")</f>
        <v/>
      </c>
      <c r="GH160" s="42" t="str">
        <f aca="false">IF(Tasks[[#This Row],[_LeafCritical]],Tasks[[#This Row],[_ShownFcstStart]]+Tasks[[#This Row],[_Row]]/100000,"")</f>
        <v/>
      </c>
      <c r="GI160" s="42" t="n">
        <f aca="false">Tasks[[#This Row],[_LeafWork]]*Tasks[[#This Row],[_LeafProgress]]</f>
        <v>0</v>
      </c>
      <c r="GJ160" s="89" t="str">
        <f aca="false">IF(AND(Tasks[[#This Row],[_IsLeaf]]=1,Tasks[[#This Row],[_LeafProgress]]&gt;=1),IF(N(Tasks[[#This Row],[Actual Finish]])&gt;0,Tasks[[#This Row],[Actual Finish]],Tasks[[#This Row],[_ShownFcstFinish]]),"")</f>
        <v/>
      </c>
      <c r="GK160" s="42" t="n">
        <f aca="false">IF(Tasks[[#This Row],[_IsLeaf]]=1,N(Tasks[[#This Row],[Story Points]]),0)</f>
        <v>0</v>
      </c>
      <c r="GL160" s="42" t="str">
        <f aca="false">""</f>
        <v/>
      </c>
      <c r="GM160" s="88" t="b">
        <f aca="false">IF(Tasks[[#This Row],[Task Name]]="",FALSE(),AND(Tasks[[#This Row],[_IsLeaf]]=1,N(Tasks[[#This Row],[_Days]])=0))</f>
        <v>0</v>
      </c>
      <c r="GN160" s="89" t="n">
        <f aca="false">IF(Tasks[[#This Row],[Task Name]]="",0,IF(AND(Tasks[[#This Row],[_IsLeaf]]=1,NOT(Tasks[[#This Row],[_IsMilestone]]),N(Tasks[[#This Row],[Progress]])&gt;0),Tasks[[#This Row],[Start]],0))</f>
        <v>0</v>
      </c>
      <c r="GO160" s="89" t="n">
        <f aca="false">IF(Tasks[[#This Row],[_DoneFrom]]=0,0,IF(Tasks[[#This Row],[Progress]]&gt;=1,Tasks[[#This Row],[Finish]],MAX(Tasks[[#This Row],[_DoneFrom]],Tasks[[#This Row],[Start]]+ROUND((Tasks[[#This Row],[Finish]]-Tasks[[#This Row],[Start]]+1)*Tasks[[#This Row],[Progress]],0)-1)))</f>
        <v>0</v>
      </c>
      <c r="GP160" s="89" t="n">
        <f aca="false">IF(Tasks[[#This Row],[Task Name]]="",0,IF(OR(NOT(Tasks[[#This Row],[_IsLeaf]]=1),Tasks[[#This Row],[_IsMilestone]],N(Tasks[[#This Row],[Progress]])&gt;=1),0,IF(Tasks[[#This Row],[_DoneTo]]&gt;0,Tasks[[#This Row],[_DoneTo]]+1,Tasks[[#This Row],[Start]])))</f>
        <v>0</v>
      </c>
      <c r="GQ160" s="89" t="n">
        <f aca="false">IF(Tasks[[#This Row],[_RemFrom]]=0,0,Tasks[[#This Row],[Finish]])</f>
        <v>0</v>
      </c>
      <c r="GR160" s="88" t="b">
        <f aca="false">IF(Tasks[[#This Row],[Task Name]]="",FALSE(),OR(NOT(BaselineSet),N(Tasks[[#This Row],[Baseline Start]])&gt;0))</f>
        <v>0</v>
      </c>
      <c r="GS1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0" s="90" t="str">
        <f aca="false">IF(Tasks[[#This Row],[_IsLeaf]]=1,Tasks[[#This Row],[_Row]],"")</f>
        <v/>
      </c>
      <c r="GW160" s="90" t="str">
        <f aca="false">IFERROR(INDEX(Tasks[UID],SMALL(Tasks[_PickKey],Tasks[[#This Row],[_Row]]))&amp;" "&amp;INDEX(Tasks[Task Name],SMALL(Tasks[_PickKey],Tasks[[#This Row],[_Row]])),"")</f>
        <v/>
      </c>
      <c r="GX160" s="42" t="str">
        <f aca="false">IF(Tasks[[#This Row],[Task Name]]="","",IF(Tasks[[#This Row],[_IsSummary]],NETWORKDAYS.INTL(Tasks[[#This Row],[Start]],Tasks[[#This Row],[Finish]],WorkWeek,Holidays),N(Tasks[[#This Row],[_Days]])))</f>
        <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3"/>
      <c r="U161" s="23"/>
      <c r="V161" s="83"/>
      <c r="W161" s="23"/>
      <c r="X161" s="83"/>
      <c r="Y161" s="23"/>
      <c r="Z161" s="83"/>
      <c r="AA161" s="23"/>
      <c r="AB161" s="23"/>
      <c r="AC161" s="7"/>
      <c r="AD161" s="7"/>
      <c r="AE161" s="62" t="str">
        <f aca="false">IF(Tasks[[#This Row],[Task Name]]="","",IF(Tasks[[#This Row],[_IsSummary]],MIN(INDEX(Tasks[_ShownFcstStart],Tasks[[#This Row],[_Row]]+1):INDEX(Tasks[_ShownFcstStart],Tasks[[#This Row],[_Row]]+Tasks[[#This Row],[_Descendants]])),Tasks[[#This Row],[_ShownFcstStart]]))</f>
        <v/>
      </c>
      <c r="AF161" s="62"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1" s="7"/>
      <c r="AK161" s="22"/>
      <c r="AL161" s="23"/>
      <c r="AM161" s="7"/>
      <c r="AN161" s="46"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2" t="str">
        <f aca="false">IF(Tasks[[#This Row],[Task Name]]="","",IF(N(Tasks[[#This Row],[Baseline Start]])&gt;0,Tasks[[#This Row],[Baseline Start]],Tasks[[#This Row],[_CalcStart]]))</f>
        <v/>
      </c>
      <c r="AR161" s="62" t="str">
        <f aca="false">IF(Tasks[[#This Row],[Task Name]]="","",IF(N(Tasks[[#This Row],[Baseline Finish]])&gt;0,Tasks[[#This Row],[Baseline Finish]],Tasks[[#This Row],[_CalcFinish]]))</f>
        <v/>
      </c>
      <c r="AS161" s="46" t="str">
        <f aca="false">IF(Tasks[[#This Row],[Task Name]]="","",IF(Tasks[[#This Row],[Start]]&gt;=Tasks[[#This Row],[Planned Start]],NETWORKDAYS.INTL(Tasks[[#This Row],[Planned Start]],Tasks[[#This Row],[Start]],WorkWeek,Holidays)-1,1-NETWORKDAYS.INTL(Tasks[[#This Row],[Start]],Tasks[[#This Row],[Planned Start]],WorkWeek,Holidays)))</f>
        <v/>
      </c>
      <c r="AT161" s="62" t="str">
        <f aca="false">IF(Tasks[[#This Row],[Task Name]]="","",IF(Tasks[[#This Row],[_IsSummary]],MIN(INDEX(Tasks[_LeafLateStart],Tasks[[#This Row],[_Row]]+1):INDEX(Tasks[_LeafLateStart],Tasks[[#This Row],[_Row]]+Tasks[[#This Row],[_Descendants]])),Tasks[[#This Row],[_LeafLateStart]]))</f>
        <v/>
      </c>
      <c r="AU161" s="62" t="str">
        <f aca="false">IF(Tasks[[#This Row],[Task Name]]="","",IF(Tasks[[#This Row],[_IsSummary]],MAX(INDEX(Tasks[_LeafLateFinish],Tasks[[#This Row],[_Row]]+1):INDEX(Tasks[_LeafLateFinish],Tasks[[#This Row],[_Row]]+Tasks[[#This Row],[_Descendants]])),Tasks[[#This Row],[_LeafLateFinish]]))</f>
        <v/>
      </c>
      <c r="AV161" s="46"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4"/>
      <c r="BA1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5"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6"/>
      <c r="BJ161" s="22"/>
      <c r="BK161" s="46" t="str">
        <f aca="false">IF(OR(Tasks[[#This Row],[Task Name]]="",Tasks[[#This Row],[Baseline Duration]]=""),"",Tasks[[#This Row],[_SpanDays]]-N(Tasks[[#This Row],[Baseline Duration]]))</f>
        <v/>
      </c>
      <c r="BL161" s="85" t="str">
        <f aca="false">IF(OR(Tasks[[#This Row],[Task Name]]="",Tasks[[#This Row],[Baseline Work]]=""),"",Tasks[[#This Row],[Work]]-N(Tasks[[#This Row],[Baseline Work]]))</f>
        <v/>
      </c>
      <c r="BM161" s="62" t="str">
        <f aca="false">IF(Tasks[[#This Row],[Task Name]]="","",IF(OR(TakeBaseline="Yes",N(Tasks[[#This Row],[Baseline Start]])=0),Tasks[[#This Row],[Start]],Tasks[[#This Row],[Baseline Start]]))</f>
        <v/>
      </c>
      <c r="BN161" s="62"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5" t="str">
        <f aca="false">IF(Tasks[[#This Row],[Task Name]]="","",IF(OR(TakeBaseline="Yes",N(Tasks[[#This Row],[Baseline Work]])=0),Tasks[[#This Row],[Work]],Tasks[[#This Row],[Baseline Work]]))</f>
        <v/>
      </c>
      <c r="BQ161" s="7"/>
      <c r="BR161" s="7"/>
      <c r="BS161" s="22"/>
      <c r="BT161" s="87"/>
      <c r="BU161" s="42" t="str">
        <f aca="false">IF(Tasks[[#This Row],[Task Name]]="","",MAX(1,N(Tasks[[#This Row],[Level]])))</f>
        <v/>
      </c>
      <c r="BV161" s="42" t="n">
        <f aca="false">ROW()-ROW(Tasks[[#Headers],[ID]])</f>
        <v>156</v>
      </c>
      <c r="BW161" s="42" t="n">
        <f aca="false">IF(OR(Tasks[[#This Row],[Task Name]]="",Tasks[[#This Row],[_Level]]&lt;=1),0,IFERROR(LOOKUP(2,1/(Tasks[[#Headers],[_Level]]:Tasks[[#This Row],[_Level]]=Tasks[[#This Row],[_Level]]-1),ROW(Tasks[[#Headers],[_Level]]:Tasks[[#This Row],[_Level]])),0))</f>
        <v>0</v>
      </c>
      <c r="BX161" s="42" t="n">
        <f aca="false">IFERROR(N(INDEX(Tasks[_Level],Tasks[[#This Row],[_Row]]+1)),0)</f>
        <v>0</v>
      </c>
      <c r="BY161" s="88" t="b">
        <f aca="false">AND(Tasks[[#This Row],[Task Name]]&lt;&gt;"",Tasks[[#This Row],[_NextLevel]]&gt;Tasks[[#This Row],[_Level]])</f>
        <v>0</v>
      </c>
      <c r="BZ161" s="42" t="n">
        <f aca="false">IF(Tasks[[#This Row],[_IsSummary]],COUNTIF(Tasks[WBS],Tasks[[#This Row],[WBS]]&amp;".*"),0)</f>
        <v>0</v>
      </c>
      <c r="CA161" s="42" t="n">
        <f aca="false">IF(AND(Tasks[[#This Row],[Task Name]]&lt;&gt;"",NOT(Tasks[[#This Row],[_IsSummary]])),1,0)</f>
        <v>0</v>
      </c>
      <c r="CB161" s="42" t="n">
        <f aca="false">IF(N(Tasks[[#This Row],[_Pred1UID]])=0,0,IFERROR(MATCH(Tasks[[#This Row],[_Pred1UID]],Tasks[UID],0),-1))</f>
        <v>0</v>
      </c>
      <c r="CC161" s="42" t="n">
        <f aca="false">IF(N(Tasks[[#This Row],[_Pred2UID]])=0,0,IFERROR(MATCH(Tasks[[#This Row],[_Pred2UID]],Tasks[UID],0),-1))</f>
        <v>0</v>
      </c>
      <c r="CD161" s="42" t="n">
        <f aca="false">IF(N(Tasks[[#This Row],[_Pred3UID]])=0,0,IFERROR(MATCH(Tasks[[#This Row],[_Pred3UID]],Tasks[UID],0),-1))</f>
        <v>0</v>
      </c>
      <c r="CE161" s="42" t="n">
        <f aca="false">IF(N(Tasks[[#This Row],[_Pred4UID]])=0,0,IFERROR(MATCH(Tasks[[#This Row],[_Pred4UID]],Tasks[UID],0),-1))</f>
        <v>0</v>
      </c>
      <c r="CF1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1" s="89" t="n">
        <f aca="false">IF(OR(Tasks[[#This Row],[_ConstraintCode]]=2,Tasks[[#This Row],[_ConstraintCode]]=3,Tasks[[#This Row],[_ConstraintCode]]=4,Tasks[[#This Row],[_ConstraintCode]]=6),Tasks[[#This Row],[_ConstraintStart]],0)</f>
        <v>0</v>
      </c>
      <c r="CI161" s="89" t="n">
        <f aca="false">IF(OR(Tasks[[#This Row],[_ConstraintCode]]=2,Tasks[[#This Row],[_ConstraintCode]]=3,Tasks[[#This Row],[_ConstraintCode]]=5,Tasks[[#This Row],[_ConstraintCode]]=7),Tasks[[#This Row],[_ConstraintStart]],2958465)</f>
        <v>2958465</v>
      </c>
      <c r="CJ1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1" s="89" t="str">
        <f aca="false">IF(NOT(Tasks[[#This Row],[_IsLeaf]]=1),"",IF(N(Tasks[[#This Row],[_Days]])&lt;=0,Tasks[[#This Row],[_LeafCalcStart]],WORKDAY.INTL(Tasks[[#This Row],[_LeafCalcStart]],Tasks[[#This Row],[_Days]]-1,WorkWeek,Holidays)))</f>
        <v/>
      </c>
      <c r="CL1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1" s="42" t="str">
        <f aca="false">IF(Tasks[[#This Row],[_Predecessors]]="","",TRIM(MID(SUBSTITUTE(SUBSTITUTE(SUBSTITUTE(UPPER(Tasks[[#This Row],[_Predecessors]]),";",",")," ",""),",",REPT(" ",99)),1,99)))</f>
        <v/>
      </c>
      <c r="CO161" s="42" t="str">
        <f aca="false">IF(Tasks[[#This Row],[_Pred1Text]]="","",IFERROR(VALUE(LEFT(Tasks[[#This Row],[_Pred1Text]],MIN(FIND("F",Tasks[[#This Row],[_Pred1Text]]&amp;"F"),FIND("S",Tasks[[#This Row],[_Pred1Text]]&amp;"S"),FIND("+",Tasks[[#This Row],[_Pred1Text]]&amp;"+"),FIND("-",Tasks[[#This Row],[_Pred1Text]]&amp;"-"))-1)),""))</f>
        <v/>
      </c>
      <c r="CP1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1" s="42" t="str">
        <f aca="false">IF(Tasks[[#This Row],[_Pred1Text]]="","",TRIM(MID(SUBSTITUTE(SUBSTITUTE(SUBSTITUTE(UPPER(Tasks[[#This Row],[_Predecessors]]),";",",")," ",""),",",REPT(" ",99)),100,99)))</f>
        <v/>
      </c>
      <c r="CS161" s="42" t="str">
        <f aca="false">IF(Tasks[[#This Row],[_Pred2Text]]="","",IFERROR(VALUE(LEFT(Tasks[[#This Row],[_Pred2Text]],MIN(FIND("F",Tasks[[#This Row],[_Pred2Text]]&amp;"F"),FIND("S",Tasks[[#This Row],[_Pred2Text]]&amp;"S"),FIND("+",Tasks[[#This Row],[_Pred2Text]]&amp;"+"),FIND("-",Tasks[[#This Row],[_Pred2Text]]&amp;"-"))-1)),""))</f>
        <v/>
      </c>
      <c r="CT1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1" s="42" t="str">
        <f aca="false">IF(Tasks[[#This Row],[_Pred2Text]]="","",TRIM(MID(SUBSTITUTE(SUBSTITUTE(SUBSTITUTE(UPPER(Tasks[[#This Row],[_Predecessors]]),";",",")," ",""),",",REPT(" ",99)),199,99)))</f>
        <v/>
      </c>
      <c r="CW161" s="42" t="str">
        <f aca="false">IF(Tasks[[#This Row],[_Pred3Text]]="","",IFERROR(VALUE(LEFT(Tasks[[#This Row],[_Pred3Text]],MIN(FIND("F",Tasks[[#This Row],[_Pred3Text]]&amp;"F"),FIND("S",Tasks[[#This Row],[_Pred3Text]]&amp;"S"),FIND("+",Tasks[[#This Row],[_Pred3Text]]&amp;"+"),FIND("-",Tasks[[#This Row],[_Pred3Text]]&amp;"-"))-1)),""))</f>
        <v/>
      </c>
      <c r="CX1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1" s="42" t="str">
        <f aca="false">IF(Tasks[[#This Row],[_Pred3Text]]="","",TRIM(MID(SUBSTITUTE(SUBSTITUTE(SUBSTITUTE(UPPER(Tasks[[#This Row],[_Predecessors]]),";",",")," ",""),",",REPT(" ",99)),298,99)))</f>
        <v/>
      </c>
      <c r="DA161" s="42" t="str">
        <f aca="false">IF(Tasks[[#This Row],[_Pred4Text]]="","",IFERROR(VALUE(LEFT(Tasks[[#This Row],[_Pred4Text]],MIN(FIND("F",Tasks[[#This Row],[_Pred4Text]]&amp;"F"),FIND("S",Tasks[[#This Row],[_Pred4Text]]&amp;"S"),FIND("+",Tasks[[#This Row],[_Pred4Text]]&amp;"+"),FIND("-",Tasks[[#This Row],[_Pred4Text]]&amp;"-"))-1)),""))</f>
        <v/>
      </c>
      <c r="DB1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1" s="42" t="str">
        <f aca="false">IF(OR(Tasks[[#This Row],[Task Name]]="",Tasks[[#This Row],[_Resources]]=""),"",TRIM(MID(SUBSTITUTE(Tasks[[#This Row],[_Resources]],",",REPT(" ",99)),1,99)))</f>
        <v/>
      </c>
      <c r="DE161" s="42" t="str">
        <f aca="false">IF(Tasks[[#This Row],[_Res1Text]]="","",TRIM(MID(SUBSTITUTE(Tasks[[#This Row],[_Resources]],",",REPT(" ",99)),100,99)))</f>
        <v/>
      </c>
      <c r="DF161" s="42" t="str">
        <f aca="false">IF(Tasks[[#This Row],[_Res2Text]]="","",TRIM(MID(SUBSTITUTE(Tasks[[#This Row],[_Resources]],",",REPT(" ",99)),199,99)))</f>
        <v/>
      </c>
      <c r="DG161" s="42" t="str">
        <f aca="false">IF(Tasks[[#This Row],[_Res3Text]]="","",TRIM(MID(SUBSTITUTE(Tasks[[#This Row],[_Resources]],",",REPT(" ",99)),298,99)))</f>
        <v/>
      </c>
      <c r="DH161" s="42" t="n">
        <f aca="false">IF(Tasks[[#This Row],[_Res1Text]]="",0,IFERROR(MATCH(TRIM(LEFT(Tasks[[#This Row],[_Res1Text]],FIND("[",Tasks[[#This Row],[_Res1Text]]&amp;"[")-1)),res_Name,0),IFERROR(MATCH(TRIM(LEFT(Tasks[[#This Row],[_Res1Text]],FIND("[",Tasks[[#This Row],[_Res1Text]]&amp;"[")-1)),res_Initials,0),0)))</f>
        <v>0</v>
      </c>
      <c r="DI161" s="42" t="n">
        <f aca="false">IF(Tasks[[#This Row],[_Res2Text]]="",0,IFERROR(MATCH(TRIM(LEFT(Tasks[[#This Row],[_Res2Text]],FIND("[",Tasks[[#This Row],[_Res2Text]]&amp;"[")-1)),res_Name,0),IFERROR(MATCH(TRIM(LEFT(Tasks[[#This Row],[_Res2Text]],FIND("[",Tasks[[#This Row],[_Res2Text]]&amp;"[")-1)),res_Initials,0),0)))</f>
        <v>0</v>
      </c>
      <c r="DJ161" s="42" t="n">
        <f aca="false">IF(Tasks[[#This Row],[_Res3Text]]="",0,IFERROR(MATCH(TRIM(LEFT(Tasks[[#This Row],[_Res3Text]],FIND("[",Tasks[[#This Row],[_Res3Text]]&amp;"[")-1)),res_Name,0),IFERROR(MATCH(TRIM(LEFT(Tasks[[#This Row],[_Res3Text]],FIND("[",Tasks[[#This Row],[_Res3Text]]&amp;"[")-1)),res_Initials,0),0)))</f>
        <v>0</v>
      </c>
      <c r="DK161" s="42" t="n">
        <f aca="false">IF(Tasks[[#This Row],[_Res4Text]]="",0,IFERROR(MATCH(TRIM(LEFT(Tasks[[#This Row],[_Res4Text]],FIND("[",Tasks[[#This Row],[_Res4Text]]&amp;"[")-1)),res_Name,0),IFERROR(MATCH(TRIM(LEFT(Tasks[[#This Row],[_Res4Text]],FIND("[",Tasks[[#This Row],[_Res4Text]]&amp;"[")-1)),res_Initials,0),0)))</f>
        <v>0</v>
      </c>
      <c r="DL161" s="42" t="str">
        <f aca="false">IF(Tasks[[#This Row],[_Res1Text]]="","",IF(Tasks[[#This Row],[_Res1Row]]&gt;0,INDEX(res_Name,Tasks[[#This Row],[_Res1Row]]),TRIM(LEFT(Tasks[[#This Row],[_Res1Text]],FIND("[",Tasks[[#This Row],[_Res1Text]]&amp;"[")-1))))</f>
        <v/>
      </c>
      <c r="DM1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1" s="42" t="n">
        <f aca="false">IF(NOT(Tasks[[#This Row],[_IsLeaf]]=1),0,(Tasks[[#This Row],[_Resource1]]&lt;&gt;"")+(Tasks[[#This Row],[_Res2]]&lt;&gt;"")+(Tasks[[#This Row],[_Res3]]&lt;&gt;"")+(Tasks[[#This Row],[_Res4]]&lt;&gt;""))</f>
        <v>0</v>
      </c>
      <c r="DO161" s="42" t="str">
        <f aca="false">IF(Tasks[[#This Row],[_Res2Text]]="","",IF(Tasks[[#This Row],[_Res2Row]]&gt;0,INDEX(res_Name,Tasks[[#This Row],[_Res2Row]]),TRIM(LEFT(Tasks[[#This Row],[_Res2Text]],FIND("[",Tasks[[#This Row],[_Res2Text]]&amp;"[")-1))))</f>
        <v/>
      </c>
      <c r="DP1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1" s="42" t="n">
        <f aca="false">IF(OR(NOT(Tasks[[#This Row],[_IsLeaf]]=1),Tasks[[#This Row],[_Res2Row]]=0),0,N(Tasks[[#This Row],[_Days]])*HoursPerDay*IF(Tasks[[#This Row],[_Res2Units]]="",DefaultUnits,Tasks[[#This Row],[_Res2Units]]))</f>
        <v>0</v>
      </c>
      <c r="DR161" s="42" t="n">
        <f aca="false">IF(AND(AND(Tasks[[#This Row],[_IsLeaf]]=1,Tasks[[#This Row],[_LeafTotalWork]]&gt;0),Tasks[[#This Row],[_Res2Work]]&gt;0),Tasks[[#This Row],[_Res2Work]]/(Tasks[[#This Row],[_FinishWorkday]]-Tasks[[#This Row],[_StartWorkday]]+1),0)</f>
        <v>0</v>
      </c>
      <c r="DS161" s="42" t="n">
        <f aca="false">Tasks[[#This Row],[_Res2WorkPerWD]]*MAX(0,Tasks[[#This Row],[_StartWorkday]]-1)</f>
        <v>0</v>
      </c>
      <c r="DT161" s="42" t="n">
        <f aca="false">Tasks[[#This Row],[_Res2Work]]*Tasks[[#This Row],[_LeafProgress]]</f>
        <v>0</v>
      </c>
      <c r="DU161" s="42" t="str">
        <f aca="false">IF(Tasks[[#This Row],[_Res3Text]]="","",IF(Tasks[[#This Row],[_Res3Row]]&gt;0,INDEX(res_Name,Tasks[[#This Row],[_Res3Row]]),TRIM(LEFT(Tasks[[#This Row],[_Res3Text]],FIND("[",Tasks[[#This Row],[_Res3Text]]&amp;"[")-1))))</f>
        <v/>
      </c>
      <c r="DV1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1" s="42" t="n">
        <f aca="false">IF(OR(NOT(Tasks[[#This Row],[_IsLeaf]]=1),Tasks[[#This Row],[_Res3Row]]=0),0,N(Tasks[[#This Row],[_Days]])*HoursPerDay*IF(Tasks[[#This Row],[_Res3Units]]="",DefaultUnits,Tasks[[#This Row],[_Res3Units]]))</f>
        <v>0</v>
      </c>
      <c r="DX161" s="42" t="n">
        <f aca="false">IF(AND(AND(Tasks[[#This Row],[_IsLeaf]]=1,Tasks[[#This Row],[_LeafTotalWork]]&gt;0),Tasks[[#This Row],[_Res3Work]]&gt;0),Tasks[[#This Row],[_Res3Work]]/(Tasks[[#This Row],[_FinishWorkday]]-Tasks[[#This Row],[_StartWorkday]]+1),0)</f>
        <v>0</v>
      </c>
      <c r="DY161" s="42" t="n">
        <f aca="false">Tasks[[#This Row],[_Res3WorkPerWD]]*MAX(0,Tasks[[#This Row],[_StartWorkday]]-1)</f>
        <v>0</v>
      </c>
      <c r="DZ161" s="42" t="n">
        <f aca="false">Tasks[[#This Row],[_Res3Work]]*Tasks[[#This Row],[_LeafProgress]]</f>
        <v>0</v>
      </c>
      <c r="EA161" s="42" t="str">
        <f aca="false">IF(Tasks[[#This Row],[_Res4Text]]="","",IF(Tasks[[#This Row],[_Res4Row]]&gt;0,INDEX(res_Name,Tasks[[#This Row],[_Res4Row]]),TRIM(LEFT(Tasks[[#This Row],[_Res4Text]],FIND("[",Tasks[[#This Row],[_Res4Text]]&amp;"[")-1))))</f>
        <v/>
      </c>
      <c r="EB1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1" s="42" t="n">
        <f aca="false">IF(OR(NOT(Tasks[[#This Row],[_IsLeaf]]=1),Tasks[[#This Row],[_Res4Row]]=0),0,N(Tasks[[#This Row],[_Days]])*HoursPerDay*IF(Tasks[[#This Row],[_Res4Units]]="",DefaultUnits,Tasks[[#This Row],[_Res4Units]]))</f>
        <v>0</v>
      </c>
      <c r="ED161" s="42" t="n">
        <f aca="false">IF(AND(AND(Tasks[[#This Row],[_IsLeaf]]=1,Tasks[[#This Row],[_LeafTotalWork]]&gt;0),Tasks[[#This Row],[_Res4Work]]&gt;0),Tasks[[#This Row],[_Res4Work]]/(Tasks[[#This Row],[_FinishWorkday]]-Tasks[[#This Row],[_StartWorkday]]+1),0)</f>
        <v>0</v>
      </c>
      <c r="EE161" s="42" t="n">
        <f aca="false">Tasks[[#This Row],[_Res4WorkPerWD]]*MAX(0,Tasks[[#This Row],[_StartWorkday]]-1)</f>
        <v>0</v>
      </c>
      <c r="EF161" s="42" t="n">
        <f aca="false">Tasks[[#This Row],[_Res4Work]]*Tasks[[#This Row],[_LeafProgress]]</f>
        <v>0</v>
      </c>
      <c r="EG161" s="42" t="n">
        <f aca="false">IF(ISNUMBER(Tasks[[#This Row],[% Complete]]),Tasks[[#This Row],[% Complete]],IF(Tasks[[#This Row],[Stage]]="",0,IFERROR(INDEX(stg_Pct,MATCH(Tasks[[#This Row],[Stage]],stg_Name,0)),0)))</f>
        <v>0</v>
      </c>
      <c r="EH161" s="42" t="n">
        <f aca="false">IF(NOT(Tasks[[#This Row],[_IsLeaf]]=1),0,IF(N(Tasks[[#This Row],[Actual Finish]])&gt;0,1,MIN(1,Tasks[[#This Row],[_Pct]])))</f>
        <v>0</v>
      </c>
      <c r="EI161" s="42" t="n">
        <f aca="false">IF(OR(NOT(Tasks[[#This Row],[_IsLeaf]]=1),Tasks[[#This Row],[_Res1Row]]=0),0,N(Tasks[[#This Row],[_Days]])*HoursPerDay*IF(Tasks[[#This Row],[_Units1]]="",DefaultUnits,Tasks[[#This Row],[_Units1]]))</f>
        <v>0</v>
      </c>
      <c r="EJ161" s="42" t="n">
        <f aca="false">Tasks[[#This Row],[_LeafWork]]+Tasks[[#This Row],[_Res2Work]]+Tasks[[#This Row],[_Res3Work]]+Tasks[[#This Row],[_Res4Work]]</f>
        <v>0</v>
      </c>
      <c r="EK1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1" s="42" t="n">
        <f aca="false">IF(NOT(Tasks[[#This Row],[_IsLeaf]]=1),0,MAX(_xlfn.MAXIFS(Tasks[_Row],Tasks[_Pred1UID],Tasks[[#This Row],[UID]]),_xlfn.MAXIFS(Tasks[_Row],Tasks[_Pred2UID],Tasks[[#This Row],[UID]]),_xlfn.MAXIFS(Tasks[_Row],Tasks[_Pred3UID],Tasks[[#This Row],[UID]]),_xlfn.MAXIFS(Tasks[_Row],Tasks[_Pred4UID],Tasks[[#This Row],[UID]])))</f>
        <v>0</v>
      </c>
      <c r="ET1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1" s="89" t="str">
        <f aca="false">IF(NOT(Tasks[[#This Row],[_IsLeaf]]=1),"",IF(N(Tasks[[#This Row],[_Days]])&lt;=0,Tasks[[#This Row],[_LeafLateFinish]],WORKDAY.INTL(Tasks[[#This Row],[_LeafLateFinish]],-(Tasks[[#This Row],[_Days]]-1),WorkWeek,Holidays)))</f>
        <v/>
      </c>
      <c r="EW1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1" s="88" t="b">
        <f aca="false">AND(Tasks[[#This Row],[_IsLeaf]]=1,Tasks[[#This Row],[_LeafProgress]]&lt;1,N(Tasks[[#This Row],[_LeafTotalSlack]])&lt;=CriticalSlackDays)</f>
        <v>0</v>
      </c>
      <c r="EY161" s="42" t="n">
        <f aca="false">IF(AND(Tasks[[#This Row],[_IsLeaf]]=1,Tasks[[#This Row],[_ConstraintCode]]=1,Tasks[[#This Row],[Mode]]&lt;&gt;"Manual",N(Tasks[[#This Row],[Actual Start]])=0),MAX(0,N(Tasks[[#This Row],[Free Slack]])),0)</f>
        <v>0</v>
      </c>
      <c r="EZ161" s="89" t="str">
        <f aca="false">IF(NOT(Tasks[[#This Row],[_IsLeaf]]=1),"",IF(Tasks[[#This Row],[_AlapShift]]=0,Tasks[[#This Row],[_LeafCalcStart]],WORKDAY.INTL(Tasks[[#This Row],[_LeafCalcStart]],Tasks[[#This Row],[_AlapShift]],WorkWeek,Holidays)))</f>
        <v/>
      </c>
      <c r="FA161" s="89" t="str">
        <f aca="false">IF(NOT(Tasks[[#This Row],[_IsLeaf]]=1),"",IF(Tasks[[#This Row],[_AlapShift]]=0,Tasks[[#This Row],[_LeafCalcFinish]],WORKDAY.INTL(Tasks[[#This Row],[_LeafCalcFinish]],Tasks[[#This Row],[_AlapShift]],WorkWeek,Holidays)))</f>
        <v/>
      </c>
      <c r="FB161" s="89" t="str">
        <f aca="false">IF(NOT(Tasks[[#This Row],[_IsLeaf]]=1),"",IF(Tasks[[#This Row],[_AlapShift]]=0,Tasks[[#This Row],[_LeafFcstStart]],WORKDAY.INTL(Tasks[[#This Row],[_LeafFcstStart]],Tasks[[#This Row],[_AlapShift]],WorkWeek,Holidays)))</f>
        <v/>
      </c>
      <c r="FC161" s="89" t="str">
        <f aca="false">IF(NOT(Tasks[[#This Row],[_IsLeaf]]=1),"",IF(Tasks[[#This Row],[_AlapShift]]=0,Tasks[[#This Row],[_LeafFcstFinish]],WORKDAY.INTL(Tasks[[#This Row],[_LeafFcstFinish]],Tasks[[#This Row],[_AlapShift]],WorkWeek,Holidays)))</f>
        <v/>
      </c>
      <c r="FD161" s="89" t="str">
        <f aca="false">IF(Tasks[[#This Row],[Task Name]]="","",IF(Tasks[[#This Row],[_IsSummary]],MIN(INDEX(Tasks[_ShownCalcStart],Tasks[[#This Row],[_Row]]+1):INDEX(Tasks[_ShownCalcStart],Tasks[[#This Row],[_Row]]+Tasks[[#This Row],[_Descendants]])),Tasks[[#This Row],[_ShownCalcStart]]))</f>
        <v/>
      </c>
      <c r="FE161" s="89" t="str">
        <f aca="false">IF(Tasks[[#This Row],[Task Name]]="","",IF(Tasks[[#This Row],[_IsSummary]],MAX(INDEX(Tasks[_ShownCalcFinish],Tasks[[#This Row],[_Row]]+1):INDEX(Tasks[_ShownCalcFinish],Tasks[[#This Row],[_Row]]+Tasks[[#This Row],[_Descendants]])),Tasks[[#This Row],[_ShownCalcFinish]]))</f>
        <v/>
      </c>
      <c r="FF1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1" s="42" t="n">
        <f aca="false">IF(AND(Tasks[[#This Row],[_IsLeaf]]=1,Tasks[[#This Row],[_LeafTotalWork]]&gt;0),NETWORKDAYS.INTL(ProjectStart,Tasks[[#This Row],[_ShownFcstStart]],WorkWeek,Holidays),0)</f>
        <v>0</v>
      </c>
      <c r="FS161" s="42" t="n">
        <f aca="false">IF(AND(Tasks[[#This Row],[_IsLeaf]]=1,Tasks[[#This Row],[_LeafTotalWork]]&gt;0),MAX(Tasks[[#This Row],[_StartWorkday]],NETWORKDAYS.INTL(ProjectStart,Tasks[[#This Row],[_ShownFcstFinish]],WorkWeek,Holidays)),0)</f>
        <v>0</v>
      </c>
      <c r="FT161" s="42" t="n">
        <f aca="false">IF(AND(Tasks[[#This Row],[_IsLeaf]]=1,Tasks[[#This Row],[_LeafTotalWork]]&gt;0),Tasks[[#This Row],[_LeafWork]]/(Tasks[[#This Row],[_FinishWorkday]]-Tasks[[#This Row],[_StartWorkday]]+1),0)</f>
        <v>0</v>
      </c>
      <c r="FU161" s="42" t="n">
        <f aca="false">Tasks[[#This Row],[_WorkPerWorkday]]*(Tasks[[#This Row],[_StartWorkday]]-1)</f>
        <v>-0</v>
      </c>
      <c r="FV161" s="42" t="n">
        <f aca="false">IF(Tasks[[#This Row],[_IsLeaf]]=1,MAX(N(Tasks[[#This Row],[_Days]]),0.1),0)</f>
        <v>0</v>
      </c>
      <c r="FW161" s="42" t="n">
        <f aca="false">Tasks[[#This Row],[_WeightDur]]*Tasks[[#This Row],[_LeafProgress]]</f>
        <v>0</v>
      </c>
      <c r="FX161" s="42" t="n">
        <f aca="false">Tasks[[#This Row],[_WeightDur]]*Tasks[[#This Row],[_PlannedPct]]</f>
        <v>0</v>
      </c>
      <c r="FY1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1" s="42" t="str">
        <f aca="false">IF(AND(Tasks[[#This Row],[_IsLeaf]]=1,N(Tasks[[#This Row],[_Days]])=0,Tasks[[#This Row],[_LeafProgress]]&lt;1),Tasks[[#This Row],[_ShownFcstFinish]]+Tasks[[#This Row],[_Row]]/100000,"")</f>
        <v/>
      </c>
      <c r="GA1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1" s="42" t="str">
        <f aca="false">IF(Tasks[[#This Row],[Task Name]]="","",LEFT(Tasks[[#This Row],[WBS]],FIND(".",Tasks[[#This Row],[WBS]]&amp;".")-1))</f>
        <v/>
      </c>
      <c r="GC161" s="42" t="str">
        <f aca="false">IF(AND(Tasks[[#This Row],[Task Name]]&lt;&gt;"",Tasks[[#This Row],[_Level]]=1),Tasks[[#This Row],[_Row]],"")</f>
        <v/>
      </c>
      <c r="GD161" s="42" t="str">
        <f aca="false">IF(AND(Tasks[[#This Row],[_IsLeaf]]=1,N(Tasks[[#This Row],[_Days]])=0),Tasks[[#This Row],[Planned Finish]]+Tasks[[#This Row],[_Row]]/100000,"")</f>
        <v/>
      </c>
      <c r="GE161" s="42" t="str">
        <f aca="false">IF(AND(Tasks[[#This Row],[_IsLeaf]]=1,Tasks[[#This Row],[_LeafProgress]]&lt;1,OR(N(Tasks[[#This Row],[Finish Var]])&gt;0,Tasks[[#This Row],[Status]]="Late Start")),MAX(0,Tasks[[#This Row],[Finish Var]])+1-Tasks[[#This Row],[_Row]]/1000000,"")</f>
        <v/>
      </c>
      <c r="GF161" s="42" t="str">
        <f aca="false">IF(AND(Tasks[[#This Row],[_IsLeaf]]=1,N(Tasks[[#This Row],[Actual Start]])=0,Tasks[[#This Row],[_ShownFcstStart]]&gt;=StatusDate,Tasks[[#This Row],[_ShownFcstStart]]&lt;=LookaheadEnd),Tasks[[#This Row],[_ShownFcstStart]]+Tasks[[#This Row],[_Row]]/100000,"")</f>
        <v/>
      </c>
      <c r="GG161" s="42" t="str">
        <f aca="false">IF(AND(Tasks[[#This Row],[_IsLeaf]]=1,Tasks[[#This Row],[_LeafProgress]]&lt;1,Tasks[[#This Row],[_ShownFcstFinish]]&gt;=StatusDate,Tasks[[#This Row],[_ShownFcstFinish]]&lt;=LookaheadEnd),Tasks[[#This Row],[_ShownFcstFinish]]+Tasks[[#This Row],[_Row]]/100000,"")</f>
        <v/>
      </c>
      <c r="GH161" s="42" t="str">
        <f aca="false">IF(Tasks[[#This Row],[_LeafCritical]],Tasks[[#This Row],[_ShownFcstStart]]+Tasks[[#This Row],[_Row]]/100000,"")</f>
        <v/>
      </c>
      <c r="GI161" s="42" t="n">
        <f aca="false">Tasks[[#This Row],[_LeafWork]]*Tasks[[#This Row],[_LeafProgress]]</f>
        <v>0</v>
      </c>
      <c r="GJ161" s="89" t="str">
        <f aca="false">IF(AND(Tasks[[#This Row],[_IsLeaf]]=1,Tasks[[#This Row],[_LeafProgress]]&gt;=1),IF(N(Tasks[[#This Row],[Actual Finish]])&gt;0,Tasks[[#This Row],[Actual Finish]],Tasks[[#This Row],[_ShownFcstFinish]]),"")</f>
        <v/>
      </c>
      <c r="GK161" s="42" t="n">
        <f aca="false">IF(Tasks[[#This Row],[_IsLeaf]]=1,N(Tasks[[#This Row],[Story Points]]),0)</f>
        <v>0</v>
      </c>
      <c r="GL161" s="42" t="str">
        <f aca="false">""</f>
        <v/>
      </c>
      <c r="GM161" s="88" t="b">
        <f aca="false">IF(Tasks[[#This Row],[Task Name]]="",FALSE(),AND(Tasks[[#This Row],[_IsLeaf]]=1,N(Tasks[[#This Row],[_Days]])=0))</f>
        <v>0</v>
      </c>
      <c r="GN161" s="89" t="n">
        <f aca="false">IF(Tasks[[#This Row],[Task Name]]="",0,IF(AND(Tasks[[#This Row],[_IsLeaf]]=1,NOT(Tasks[[#This Row],[_IsMilestone]]),N(Tasks[[#This Row],[Progress]])&gt;0),Tasks[[#This Row],[Start]],0))</f>
        <v>0</v>
      </c>
      <c r="GO161" s="89" t="n">
        <f aca="false">IF(Tasks[[#This Row],[_DoneFrom]]=0,0,IF(Tasks[[#This Row],[Progress]]&gt;=1,Tasks[[#This Row],[Finish]],MAX(Tasks[[#This Row],[_DoneFrom]],Tasks[[#This Row],[Start]]+ROUND((Tasks[[#This Row],[Finish]]-Tasks[[#This Row],[Start]]+1)*Tasks[[#This Row],[Progress]],0)-1)))</f>
        <v>0</v>
      </c>
      <c r="GP161" s="89" t="n">
        <f aca="false">IF(Tasks[[#This Row],[Task Name]]="",0,IF(OR(NOT(Tasks[[#This Row],[_IsLeaf]]=1),Tasks[[#This Row],[_IsMilestone]],N(Tasks[[#This Row],[Progress]])&gt;=1),0,IF(Tasks[[#This Row],[_DoneTo]]&gt;0,Tasks[[#This Row],[_DoneTo]]+1,Tasks[[#This Row],[Start]])))</f>
        <v>0</v>
      </c>
      <c r="GQ161" s="89" t="n">
        <f aca="false">IF(Tasks[[#This Row],[_RemFrom]]=0,0,Tasks[[#This Row],[Finish]])</f>
        <v>0</v>
      </c>
      <c r="GR161" s="88" t="b">
        <f aca="false">IF(Tasks[[#This Row],[Task Name]]="",FALSE(),OR(NOT(BaselineSet),N(Tasks[[#This Row],[Baseline Start]])&gt;0))</f>
        <v>0</v>
      </c>
      <c r="GS1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1" s="90" t="str">
        <f aca="false">IF(Tasks[[#This Row],[_IsLeaf]]=1,Tasks[[#This Row],[_Row]],"")</f>
        <v/>
      </c>
      <c r="GW161" s="90" t="str">
        <f aca="false">IFERROR(INDEX(Tasks[UID],SMALL(Tasks[_PickKey],Tasks[[#This Row],[_Row]]))&amp;" "&amp;INDEX(Tasks[Task Name],SMALL(Tasks[_PickKey],Tasks[[#This Row],[_Row]])),"")</f>
        <v/>
      </c>
      <c r="GX161" s="42" t="str">
        <f aca="false">IF(Tasks[[#This Row],[Task Name]]="","",IF(Tasks[[#This Row],[_IsSummary]],NETWORKDAYS.INTL(Tasks[[#This Row],[Start]],Tasks[[#This Row],[Finish]],WorkWeek,Holidays),N(Tasks[[#This Row],[_Days]])))</f>
        <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3"/>
      <c r="U162" s="23"/>
      <c r="V162" s="83"/>
      <c r="W162" s="23"/>
      <c r="X162" s="83"/>
      <c r="Y162" s="23"/>
      <c r="Z162" s="83"/>
      <c r="AA162" s="23"/>
      <c r="AB162" s="23"/>
      <c r="AC162" s="7"/>
      <c r="AD162" s="7"/>
      <c r="AE162" s="62" t="str">
        <f aca="false">IF(Tasks[[#This Row],[Task Name]]="","",IF(Tasks[[#This Row],[_IsSummary]],MIN(INDEX(Tasks[_ShownFcstStart],Tasks[[#This Row],[_Row]]+1):INDEX(Tasks[_ShownFcstStart],Tasks[[#This Row],[_Row]]+Tasks[[#This Row],[_Descendants]])),Tasks[[#This Row],[_ShownFcstStart]]))</f>
        <v/>
      </c>
      <c r="AF162" s="62"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2" s="7"/>
      <c r="AK162" s="22"/>
      <c r="AL162" s="23"/>
      <c r="AM162" s="7"/>
      <c r="AN162" s="46"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2" t="str">
        <f aca="false">IF(Tasks[[#This Row],[Task Name]]="","",IF(N(Tasks[[#This Row],[Baseline Start]])&gt;0,Tasks[[#This Row],[Baseline Start]],Tasks[[#This Row],[_CalcStart]]))</f>
        <v/>
      </c>
      <c r="AR162" s="62" t="str">
        <f aca="false">IF(Tasks[[#This Row],[Task Name]]="","",IF(N(Tasks[[#This Row],[Baseline Finish]])&gt;0,Tasks[[#This Row],[Baseline Finish]],Tasks[[#This Row],[_CalcFinish]]))</f>
        <v/>
      </c>
      <c r="AS162" s="46" t="str">
        <f aca="false">IF(Tasks[[#This Row],[Task Name]]="","",IF(Tasks[[#This Row],[Start]]&gt;=Tasks[[#This Row],[Planned Start]],NETWORKDAYS.INTL(Tasks[[#This Row],[Planned Start]],Tasks[[#This Row],[Start]],WorkWeek,Holidays)-1,1-NETWORKDAYS.INTL(Tasks[[#This Row],[Start]],Tasks[[#This Row],[Planned Start]],WorkWeek,Holidays)))</f>
        <v/>
      </c>
      <c r="AT162" s="62" t="str">
        <f aca="false">IF(Tasks[[#This Row],[Task Name]]="","",IF(Tasks[[#This Row],[_IsSummary]],MIN(INDEX(Tasks[_LeafLateStart],Tasks[[#This Row],[_Row]]+1):INDEX(Tasks[_LeafLateStart],Tasks[[#This Row],[_Row]]+Tasks[[#This Row],[_Descendants]])),Tasks[[#This Row],[_LeafLateStart]]))</f>
        <v/>
      </c>
      <c r="AU162" s="62" t="str">
        <f aca="false">IF(Tasks[[#This Row],[Task Name]]="","",IF(Tasks[[#This Row],[_IsSummary]],MAX(INDEX(Tasks[_LeafLateFinish],Tasks[[#This Row],[_Row]]+1):INDEX(Tasks[_LeafLateFinish],Tasks[[#This Row],[_Row]]+Tasks[[#This Row],[_Descendants]])),Tasks[[#This Row],[_LeafLateFinish]]))</f>
        <v/>
      </c>
      <c r="AV162" s="46"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4"/>
      <c r="BA1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5"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6"/>
      <c r="BJ162" s="22"/>
      <c r="BK162" s="46" t="str">
        <f aca="false">IF(OR(Tasks[[#This Row],[Task Name]]="",Tasks[[#This Row],[Baseline Duration]]=""),"",Tasks[[#This Row],[_SpanDays]]-N(Tasks[[#This Row],[Baseline Duration]]))</f>
        <v/>
      </c>
      <c r="BL162" s="85" t="str">
        <f aca="false">IF(OR(Tasks[[#This Row],[Task Name]]="",Tasks[[#This Row],[Baseline Work]]=""),"",Tasks[[#This Row],[Work]]-N(Tasks[[#This Row],[Baseline Work]]))</f>
        <v/>
      </c>
      <c r="BM162" s="62" t="str">
        <f aca="false">IF(Tasks[[#This Row],[Task Name]]="","",IF(OR(TakeBaseline="Yes",N(Tasks[[#This Row],[Baseline Start]])=0),Tasks[[#This Row],[Start]],Tasks[[#This Row],[Baseline Start]]))</f>
        <v/>
      </c>
      <c r="BN162" s="62"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5" t="str">
        <f aca="false">IF(Tasks[[#This Row],[Task Name]]="","",IF(OR(TakeBaseline="Yes",N(Tasks[[#This Row],[Baseline Work]])=0),Tasks[[#This Row],[Work]],Tasks[[#This Row],[Baseline Work]]))</f>
        <v/>
      </c>
      <c r="BQ162" s="7"/>
      <c r="BR162" s="7"/>
      <c r="BS162" s="22"/>
      <c r="BT162" s="87"/>
      <c r="BU162" s="42" t="str">
        <f aca="false">IF(Tasks[[#This Row],[Task Name]]="","",MAX(1,N(Tasks[[#This Row],[Level]])))</f>
        <v/>
      </c>
      <c r="BV162" s="42" t="n">
        <f aca="false">ROW()-ROW(Tasks[[#Headers],[ID]])</f>
        <v>157</v>
      </c>
      <c r="BW162" s="42" t="n">
        <f aca="false">IF(OR(Tasks[[#This Row],[Task Name]]="",Tasks[[#This Row],[_Level]]&lt;=1),0,IFERROR(LOOKUP(2,1/(Tasks[[#Headers],[_Level]]:Tasks[[#This Row],[_Level]]=Tasks[[#This Row],[_Level]]-1),ROW(Tasks[[#Headers],[_Level]]:Tasks[[#This Row],[_Level]])),0))</f>
        <v>0</v>
      </c>
      <c r="BX162" s="42" t="n">
        <f aca="false">IFERROR(N(INDEX(Tasks[_Level],Tasks[[#This Row],[_Row]]+1)),0)</f>
        <v>0</v>
      </c>
      <c r="BY162" s="88" t="b">
        <f aca="false">AND(Tasks[[#This Row],[Task Name]]&lt;&gt;"",Tasks[[#This Row],[_NextLevel]]&gt;Tasks[[#This Row],[_Level]])</f>
        <v>0</v>
      </c>
      <c r="BZ162" s="42" t="n">
        <f aca="false">IF(Tasks[[#This Row],[_IsSummary]],COUNTIF(Tasks[WBS],Tasks[[#This Row],[WBS]]&amp;".*"),0)</f>
        <v>0</v>
      </c>
      <c r="CA162" s="42" t="n">
        <f aca="false">IF(AND(Tasks[[#This Row],[Task Name]]&lt;&gt;"",NOT(Tasks[[#This Row],[_IsSummary]])),1,0)</f>
        <v>0</v>
      </c>
      <c r="CB162" s="42" t="n">
        <f aca="false">IF(N(Tasks[[#This Row],[_Pred1UID]])=0,0,IFERROR(MATCH(Tasks[[#This Row],[_Pred1UID]],Tasks[UID],0),-1))</f>
        <v>0</v>
      </c>
      <c r="CC162" s="42" t="n">
        <f aca="false">IF(N(Tasks[[#This Row],[_Pred2UID]])=0,0,IFERROR(MATCH(Tasks[[#This Row],[_Pred2UID]],Tasks[UID],0),-1))</f>
        <v>0</v>
      </c>
      <c r="CD162" s="42" t="n">
        <f aca="false">IF(N(Tasks[[#This Row],[_Pred3UID]])=0,0,IFERROR(MATCH(Tasks[[#This Row],[_Pred3UID]],Tasks[UID],0),-1))</f>
        <v>0</v>
      </c>
      <c r="CE162" s="42" t="n">
        <f aca="false">IF(N(Tasks[[#This Row],[_Pred4UID]])=0,0,IFERROR(MATCH(Tasks[[#This Row],[_Pred4UID]],Tasks[UID],0),-1))</f>
        <v>0</v>
      </c>
      <c r="CF1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2" s="89" t="n">
        <f aca="false">IF(OR(Tasks[[#This Row],[_ConstraintCode]]=2,Tasks[[#This Row],[_ConstraintCode]]=3,Tasks[[#This Row],[_ConstraintCode]]=4,Tasks[[#This Row],[_ConstraintCode]]=6),Tasks[[#This Row],[_ConstraintStart]],0)</f>
        <v>0</v>
      </c>
      <c r="CI162" s="89" t="n">
        <f aca="false">IF(OR(Tasks[[#This Row],[_ConstraintCode]]=2,Tasks[[#This Row],[_ConstraintCode]]=3,Tasks[[#This Row],[_ConstraintCode]]=5,Tasks[[#This Row],[_ConstraintCode]]=7),Tasks[[#This Row],[_ConstraintStart]],2958465)</f>
        <v>2958465</v>
      </c>
      <c r="CJ1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2" s="89" t="str">
        <f aca="false">IF(NOT(Tasks[[#This Row],[_IsLeaf]]=1),"",IF(N(Tasks[[#This Row],[_Days]])&lt;=0,Tasks[[#This Row],[_LeafCalcStart]],WORKDAY.INTL(Tasks[[#This Row],[_LeafCalcStart]],Tasks[[#This Row],[_Days]]-1,WorkWeek,Holidays)))</f>
        <v/>
      </c>
      <c r="CL1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2" s="42" t="str">
        <f aca="false">IF(Tasks[[#This Row],[_Predecessors]]="","",TRIM(MID(SUBSTITUTE(SUBSTITUTE(SUBSTITUTE(UPPER(Tasks[[#This Row],[_Predecessors]]),";",",")," ",""),",",REPT(" ",99)),1,99)))</f>
        <v/>
      </c>
      <c r="CO162" s="42" t="str">
        <f aca="false">IF(Tasks[[#This Row],[_Pred1Text]]="","",IFERROR(VALUE(LEFT(Tasks[[#This Row],[_Pred1Text]],MIN(FIND("F",Tasks[[#This Row],[_Pred1Text]]&amp;"F"),FIND("S",Tasks[[#This Row],[_Pred1Text]]&amp;"S"),FIND("+",Tasks[[#This Row],[_Pred1Text]]&amp;"+"),FIND("-",Tasks[[#This Row],[_Pred1Text]]&amp;"-"))-1)),""))</f>
        <v/>
      </c>
      <c r="CP1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2" s="42" t="str">
        <f aca="false">IF(Tasks[[#This Row],[_Pred1Text]]="","",TRIM(MID(SUBSTITUTE(SUBSTITUTE(SUBSTITUTE(UPPER(Tasks[[#This Row],[_Predecessors]]),";",",")," ",""),",",REPT(" ",99)),100,99)))</f>
        <v/>
      </c>
      <c r="CS162" s="42" t="str">
        <f aca="false">IF(Tasks[[#This Row],[_Pred2Text]]="","",IFERROR(VALUE(LEFT(Tasks[[#This Row],[_Pred2Text]],MIN(FIND("F",Tasks[[#This Row],[_Pred2Text]]&amp;"F"),FIND("S",Tasks[[#This Row],[_Pred2Text]]&amp;"S"),FIND("+",Tasks[[#This Row],[_Pred2Text]]&amp;"+"),FIND("-",Tasks[[#This Row],[_Pred2Text]]&amp;"-"))-1)),""))</f>
        <v/>
      </c>
      <c r="CT1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2" s="42" t="str">
        <f aca="false">IF(Tasks[[#This Row],[_Pred2Text]]="","",TRIM(MID(SUBSTITUTE(SUBSTITUTE(SUBSTITUTE(UPPER(Tasks[[#This Row],[_Predecessors]]),";",",")," ",""),",",REPT(" ",99)),199,99)))</f>
        <v/>
      </c>
      <c r="CW162" s="42" t="str">
        <f aca="false">IF(Tasks[[#This Row],[_Pred3Text]]="","",IFERROR(VALUE(LEFT(Tasks[[#This Row],[_Pred3Text]],MIN(FIND("F",Tasks[[#This Row],[_Pred3Text]]&amp;"F"),FIND("S",Tasks[[#This Row],[_Pred3Text]]&amp;"S"),FIND("+",Tasks[[#This Row],[_Pred3Text]]&amp;"+"),FIND("-",Tasks[[#This Row],[_Pred3Text]]&amp;"-"))-1)),""))</f>
        <v/>
      </c>
      <c r="CX1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2" s="42" t="str">
        <f aca="false">IF(Tasks[[#This Row],[_Pred3Text]]="","",TRIM(MID(SUBSTITUTE(SUBSTITUTE(SUBSTITUTE(UPPER(Tasks[[#This Row],[_Predecessors]]),";",",")," ",""),",",REPT(" ",99)),298,99)))</f>
        <v/>
      </c>
      <c r="DA162" s="42" t="str">
        <f aca="false">IF(Tasks[[#This Row],[_Pred4Text]]="","",IFERROR(VALUE(LEFT(Tasks[[#This Row],[_Pred4Text]],MIN(FIND("F",Tasks[[#This Row],[_Pred4Text]]&amp;"F"),FIND("S",Tasks[[#This Row],[_Pred4Text]]&amp;"S"),FIND("+",Tasks[[#This Row],[_Pred4Text]]&amp;"+"),FIND("-",Tasks[[#This Row],[_Pred4Text]]&amp;"-"))-1)),""))</f>
        <v/>
      </c>
      <c r="DB1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2" s="42" t="str">
        <f aca="false">IF(OR(Tasks[[#This Row],[Task Name]]="",Tasks[[#This Row],[_Resources]]=""),"",TRIM(MID(SUBSTITUTE(Tasks[[#This Row],[_Resources]],",",REPT(" ",99)),1,99)))</f>
        <v/>
      </c>
      <c r="DE162" s="42" t="str">
        <f aca="false">IF(Tasks[[#This Row],[_Res1Text]]="","",TRIM(MID(SUBSTITUTE(Tasks[[#This Row],[_Resources]],",",REPT(" ",99)),100,99)))</f>
        <v/>
      </c>
      <c r="DF162" s="42" t="str">
        <f aca="false">IF(Tasks[[#This Row],[_Res2Text]]="","",TRIM(MID(SUBSTITUTE(Tasks[[#This Row],[_Resources]],",",REPT(" ",99)),199,99)))</f>
        <v/>
      </c>
      <c r="DG162" s="42" t="str">
        <f aca="false">IF(Tasks[[#This Row],[_Res3Text]]="","",TRIM(MID(SUBSTITUTE(Tasks[[#This Row],[_Resources]],",",REPT(" ",99)),298,99)))</f>
        <v/>
      </c>
      <c r="DH162" s="42" t="n">
        <f aca="false">IF(Tasks[[#This Row],[_Res1Text]]="",0,IFERROR(MATCH(TRIM(LEFT(Tasks[[#This Row],[_Res1Text]],FIND("[",Tasks[[#This Row],[_Res1Text]]&amp;"[")-1)),res_Name,0),IFERROR(MATCH(TRIM(LEFT(Tasks[[#This Row],[_Res1Text]],FIND("[",Tasks[[#This Row],[_Res1Text]]&amp;"[")-1)),res_Initials,0),0)))</f>
        <v>0</v>
      </c>
      <c r="DI162" s="42" t="n">
        <f aca="false">IF(Tasks[[#This Row],[_Res2Text]]="",0,IFERROR(MATCH(TRIM(LEFT(Tasks[[#This Row],[_Res2Text]],FIND("[",Tasks[[#This Row],[_Res2Text]]&amp;"[")-1)),res_Name,0),IFERROR(MATCH(TRIM(LEFT(Tasks[[#This Row],[_Res2Text]],FIND("[",Tasks[[#This Row],[_Res2Text]]&amp;"[")-1)),res_Initials,0),0)))</f>
        <v>0</v>
      </c>
      <c r="DJ162" s="42" t="n">
        <f aca="false">IF(Tasks[[#This Row],[_Res3Text]]="",0,IFERROR(MATCH(TRIM(LEFT(Tasks[[#This Row],[_Res3Text]],FIND("[",Tasks[[#This Row],[_Res3Text]]&amp;"[")-1)),res_Name,0),IFERROR(MATCH(TRIM(LEFT(Tasks[[#This Row],[_Res3Text]],FIND("[",Tasks[[#This Row],[_Res3Text]]&amp;"[")-1)),res_Initials,0),0)))</f>
        <v>0</v>
      </c>
      <c r="DK162" s="42" t="n">
        <f aca="false">IF(Tasks[[#This Row],[_Res4Text]]="",0,IFERROR(MATCH(TRIM(LEFT(Tasks[[#This Row],[_Res4Text]],FIND("[",Tasks[[#This Row],[_Res4Text]]&amp;"[")-1)),res_Name,0),IFERROR(MATCH(TRIM(LEFT(Tasks[[#This Row],[_Res4Text]],FIND("[",Tasks[[#This Row],[_Res4Text]]&amp;"[")-1)),res_Initials,0),0)))</f>
        <v>0</v>
      </c>
      <c r="DL162" s="42" t="str">
        <f aca="false">IF(Tasks[[#This Row],[_Res1Text]]="","",IF(Tasks[[#This Row],[_Res1Row]]&gt;0,INDEX(res_Name,Tasks[[#This Row],[_Res1Row]]),TRIM(LEFT(Tasks[[#This Row],[_Res1Text]],FIND("[",Tasks[[#This Row],[_Res1Text]]&amp;"[")-1))))</f>
        <v/>
      </c>
      <c r="DM1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2" s="42" t="n">
        <f aca="false">IF(NOT(Tasks[[#This Row],[_IsLeaf]]=1),0,(Tasks[[#This Row],[_Resource1]]&lt;&gt;"")+(Tasks[[#This Row],[_Res2]]&lt;&gt;"")+(Tasks[[#This Row],[_Res3]]&lt;&gt;"")+(Tasks[[#This Row],[_Res4]]&lt;&gt;""))</f>
        <v>0</v>
      </c>
      <c r="DO162" s="42" t="str">
        <f aca="false">IF(Tasks[[#This Row],[_Res2Text]]="","",IF(Tasks[[#This Row],[_Res2Row]]&gt;0,INDEX(res_Name,Tasks[[#This Row],[_Res2Row]]),TRIM(LEFT(Tasks[[#This Row],[_Res2Text]],FIND("[",Tasks[[#This Row],[_Res2Text]]&amp;"[")-1))))</f>
        <v/>
      </c>
      <c r="DP1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2" s="42" t="n">
        <f aca="false">IF(OR(NOT(Tasks[[#This Row],[_IsLeaf]]=1),Tasks[[#This Row],[_Res2Row]]=0),0,N(Tasks[[#This Row],[_Days]])*HoursPerDay*IF(Tasks[[#This Row],[_Res2Units]]="",DefaultUnits,Tasks[[#This Row],[_Res2Units]]))</f>
        <v>0</v>
      </c>
      <c r="DR162" s="42" t="n">
        <f aca="false">IF(AND(AND(Tasks[[#This Row],[_IsLeaf]]=1,Tasks[[#This Row],[_LeafTotalWork]]&gt;0),Tasks[[#This Row],[_Res2Work]]&gt;0),Tasks[[#This Row],[_Res2Work]]/(Tasks[[#This Row],[_FinishWorkday]]-Tasks[[#This Row],[_StartWorkday]]+1),0)</f>
        <v>0</v>
      </c>
      <c r="DS162" s="42" t="n">
        <f aca="false">Tasks[[#This Row],[_Res2WorkPerWD]]*MAX(0,Tasks[[#This Row],[_StartWorkday]]-1)</f>
        <v>0</v>
      </c>
      <c r="DT162" s="42" t="n">
        <f aca="false">Tasks[[#This Row],[_Res2Work]]*Tasks[[#This Row],[_LeafProgress]]</f>
        <v>0</v>
      </c>
      <c r="DU162" s="42" t="str">
        <f aca="false">IF(Tasks[[#This Row],[_Res3Text]]="","",IF(Tasks[[#This Row],[_Res3Row]]&gt;0,INDEX(res_Name,Tasks[[#This Row],[_Res3Row]]),TRIM(LEFT(Tasks[[#This Row],[_Res3Text]],FIND("[",Tasks[[#This Row],[_Res3Text]]&amp;"[")-1))))</f>
        <v/>
      </c>
      <c r="DV1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2" s="42" t="n">
        <f aca="false">IF(OR(NOT(Tasks[[#This Row],[_IsLeaf]]=1),Tasks[[#This Row],[_Res3Row]]=0),0,N(Tasks[[#This Row],[_Days]])*HoursPerDay*IF(Tasks[[#This Row],[_Res3Units]]="",DefaultUnits,Tasks[[#This Row],[_Res3Units]]))</f>
        <v>0</v>
      </c>
      <c r="DX162" s="42" t="n">
        <f aca="false">IF(AND(AND(Tasks[[#This Row],[_IsLeaf]]=1,Tasks[[#This Row],[_LeafTotalWork]]&gt;0),Tasks[[#This Row],[_Res3Work]]&gt;0),Tasks[[#This Row],[_Res3Work]]/(Tasks[[#This Row],[_FinishWorkday]]-Tasks[[#This Row],[_StartWorkday]]+1),0)</f>
        <v>0</v>
      </c>
      <c r="DY162" s="42" t="n">
        <f aca="false">Tasks[[#This Row],[_Res3WorkPerWD]]*MAX(0,Tasks[[#This Row],[_StartWorkday]]-1)</f>
        <v>0</v>
      </c>
      <c r="DZ162" s="42" t="n">
        <f aca="false">Tasks[[#This Row],[_Res3Work]]*Tasks[[#This Row],[_LeafProgress]]</f>
        <v>0</v>
      </c>
      <c r="EA162" s="42" t="str">
        <f aca="false">IF(Tasks[[#This Row],[_Res4Text]]="","",IF(Tasks[[#This Row],[_Res4Row]]&gt;0,INDEX(res_Name,Tasks[[#This Row],[_Res4Row]]),TRIM(LEFT(Tasks[[#This Row],[_Res4Text]],FIND("[",Tasks[[#This Row],[_Res4Text]]&amp;"[")-1))))</f>
        <v/>
      </c>
      <c r="EB1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2" s="42" t="n">
        <f aca="false">IF(OR(NOT(Tasks[[#This Row],[_IsLeaf]]=1),Tasks[[#This Row],[_Res4Row]]=0),0,N(Tasks[[#This Row],[_Days]])*HoursPerDay*IF(Tasks[[#This Row],[_Res4Units]]="",DefaultUnits,Tasks[[#This Row],[_Res4Units]]))</f>
        <v>0</v>
      </c>
      <c r="ED162" s="42" t="n">
        <f aca="false">IF(AND(AND(Tasks[[#This Row],[_IsLeaf]]=1,Tasks[[#This Row],[_LeafTotalWork]]&gt;0),Tasks[[#This Row],[_Res4Work]]&gt;0),Tasks[[#This Row],[_Res4Work]]/(Tasks[[#This Row],[_FinishWorkday]]-Tasks[[#This Row],[_StartWorkday]]+1),0)</f>
        <v>0</v>
      </c>
      <c r="EE162" s="42" t="n">
        <f aca="false">Tasks[[#This Row],[_Res4WorkPerWD]]*MAX(0,Tasks[[#This Row],[_StartWorkday]]-1)</f>
        <v>0</v>
      </c>
      <c r="EF162" s="42" t="n">
        <f aca="false">Tasks[[#This Row],[_Res4Work]]*Tasks[[#This Row],[_LeafProgress]]</f>
        <v>0</v>
      </c>
      <c r="EG162" s="42" t="n">
        <f aca="false">IF(ISNUMBER(Tasks[[#This Row],[% Complete]]),Tasks[[#This Row],[% Complete]],IF(Tasks[[#This Row],[Stage]]="",0,IFERROR(INDEX(stg_Pct,MATCH(Tasks[[#This Row],[Stage]],stg_Name,0)),0)))</f>
        <v>0</v>
      </c>
      <c r="EH162" s="42" t="n">
        <f aca="false">IF(NOT(Tasks[[#This Row],[_IsLeaf]]=1),0,IF(N(Tasks[[#This Row],[Actual Finish]])&gt;0,1,MIN(1,Tasks[[#This Row],[_Pct]])))</f>
        <v>0</v>
      </c>
      <c r="EI162" s="42" t="n">
        <f aca="false">IF(OR(NOT(Tasks[[#This Row],[_IsLeaf]]=1),Tasks[[#This Row],[_Res1Row]]=0),0,N(Tasks[[#This Row],[_Days]])*HoursPerDay*IF(Tasks[[#This Row],[_Units1]]="",DefaultUnits,Tasks[[#This Row],[_Units1]]))</f>
        <v>0</v>
      </c>
      <c r="EJ162" s="42" t="n">
        <f aca="false">Tasks[[#This Row],[_LeafWork]]+Tasks[[#This Row],[_Res2Work]]+Tasks[[#This Row],[_Res3Work]]+Tasks[[#This Row],[_Res4Work]]</f>
        <v>0</v>
      </c>
      <c r="EK1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2" s="42" t="n">
        <f aca="false">IF(NOT(Tasks[[#This Row],[_IsLeaf]]=1),0,MAX(_xlfn.MAXIFS(Tasks[_Row],Tasks[_Pred1UID],Tasks[[#This Row],[UID]]),_xlfn.MAXIFS(Tasks[_Row],Tasks[_Pred2UID],Tasks[[#This Row],[UID]]),_xlfn.MAXIFS(Tasks[_Row],Tasks[_Pred3UID],Tasks[[#This Row],[UID]]),_xlfn.MAXIFS(Tasks[_Row],Tasks[_Pred4UID],Tasks[[#This Row],[UID]])))</f>
        <v>0</v>
      </c>
      <c r="ET1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2" s="89" t="str">
        <f aca="false">IF(NOT(Tasks[[#This Row],[_IsLeaf]]=1),"",IF(N(Tasks[[#This Row],[_Days]])&lt;=0,Tasks[[#This Row],[_LeafLateFinish]],WORKDAY.INTL(Tasks[[#This Row],[_LeafLateFinish]],-(Tasks[[#This Row],[_Days]]-1),WorkWeek,Holidays)))</f>
        <v/>
      </c>
      <c r="EW1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2" s="88" t="b">
        <f aca="false">AND(Tasks[[#This Row],[_IsLeaf]]=1,Tasks[[#This Row],[_LeafProgress]]&lt;1,N(Tasks[[#This Row],[_LeafTotalSlack]])&lt;=CriticalSlackDays)</f>
        <v>0</v>
      </c>
      <c r="EY162" s="42" t="n">
        <f aca="false">IF(AND(Tasks[[#This Row],[_IsLeaf]]=1,Tasks[[#This Row],[_ConstraintCode]]=1,Tasks[[#This Row],[Mode]]&lt;&gt;"Manual",N(Tasks[[#This Row],[Actual Start]])=0),MAX(0,N(Tasks[[#This Row],[Free Slack]])),0)</f>
        <v>0</v>
      </c>
      <c r="EZ162" s="89" t="str">
        <f aca="false">IF(NOT(Tasks[[#This Row],[_IsLeaf]]=1),"",IF(Tasks[[#This Row],[_AlapShift]]=0,Tasks[[#This Row],[_LeafCalcStart]],WORKDAY.INTL(Tasks[[#This Row],[_LeafCalcStart]],Tasks[[#This Row],[_AlapShift]],WorkWeek,Holidays)))</f>
        <v/>
      </c>
      <c r="FA162" s="89" t="str">
        <f aca="false">IF(NOT(Tasks[[#This Row],[_IsLeaf]]=1),"",IF(Tasks[[#This Row],[_AlapShift]]=0,Tasks[[#This Row],[_LeafCalcFinish]],WORKDAY.INTL(Tasks[[#This Row],[_LeafCalcFinish]],Tasks[[#This Row],[_AlapShift]],WorkWeek,Holidays)))</f>
        <v/>
      </c>
      <c r="FB162" s="89" t="str">
        <f aca="false">IF(NOT(Tasks[[#This Row],[_IsLeaf]]=1),"",IF(Tasks[[#This Row],[_AlapShift]]=0,Tasks[[#This Row],[_LeafFcstStart]],WORKDAY.INTL(Tasks[[#This Row],[_LeafFcstStart]],Tasks[[#This Row],[_AlapShift]],WorkWeek,Holidays)))</f>
        <v/>
      </c>
      <c r="FC162" s="89" t="str">
        <f aca="false">IF(NOT(Tasks[[#This Row],[_IsLeaf]]=1),"",IF(Tasks[[#This Row],[_AlapShift]]=0,Tasks[[#This Row],[_LeafFcstFinish]],WORKDAY.INTL(Tasks[[#This Row],[_LeafFcstFinish]],Tasks[[#This Row],[_AlapShift]],WorkWeek,Holidays)))</f>
        <v/>
      </c>
      <c r="FD162" s="89" t="str">
        <f aca="false">IF(Tasks[[#This Row],[Task Name]]="","",IF(Tasks[[#This Row],[_IsSummary]],MIN(INDEX(Tasks[_ShownCalcStart],Tasks[[#This Row],[_Row]]+1):INDEX(Tasks[_ShownCalcStart],Tasks[[#This Row],[_Row]]+Tasks[[#This Row],[_Descendants]])),Tasks[[#This Row],[_ShownCalcStart]]))</f>
        <v/>
      </c>
      <c r="FE162" s="89" t="str">
        <f aca="false">IF(Tasks[[#This Row],[Task Name]]="","",IF(Tasks[[#This Row],[_IsSummary]],MAX(INDEX(Tasks[_ShownCalcFinish],Tasks[[#This Row],[_Row]]+1):INDEX(Tasks[_ShownCalcFinish],Tasks[[#This Row],[_Row]]+Tasks[[#This Row],[_Descendants]])),Tasks[[#This Row],[_ShownCalcFinish]]))</f>
        <v/>
      </c>
      <c r="FF1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2" s="42" t="n">
        <f aca="false">IF(AND(Tasks[[#This Row],[_IsLeaf]]=1,Tasks[[#This Row],[_LeafTotalWork]]&gt;0),NETWORKDAYS.INTL(ProjectStart,Tasks[[#This Row],[_ShownFcstStart]],WorkWeek,Holidays),0)</f>
        <v>0</v>
      </c>
      <c r="FS162" s="42" t="n">
        <f aca="false">IF(AND(Tasks[[#This Row],[_IsLeaf]]=1,Tasks[[#This Row],[_LeafTotalWork]]&gt;0),MAX(Tasks[[#This Row],[_StartWorkday]],NETWORKDAYS.INTL(ProjectStart,Tasks[[#This Row],[_ShownFcstFinish]],WorkWeek,Holidays)),0)</f>
        <v>0</v>
      </c>
      <c r="FT162" s="42" t="n">
        <f aca="false">IF(AND(Tasks[[#This Row],[_IsLeaf]]=1,Tasks[[#This Row],[_LeafTotalWork]]&gt;0),Tasks[[#This Row],[_LeafWork]]/(Tasks[[#This Row],[_FinishWorkday]]-Tasks[[#This Row],[_StartWorkday]]+1),0)</f>
        <v>0</v>
      </c>
      <c r="FU162" s="42" t="n">
        <f aca="false">Tasks[[#This Row],[_WorkPerWorkday]]*(Tasks[[#This Row],[_StartWorkday]]-1)</f>
        <v>-0</v>
      </c>
      <c r="FV162" s="42" t="n">
        <f aca="false">IF(Tasks[[#This Row],[_IsLeaf]]=1,MAX(N(Tasks[[#This Row],[_Days]]),0.1),0)</f>
        <v>0</v>
      </c>
      <c r="FW162" s="42" t="n">
        <f aca="false">Tasks[[#This Row],[_WeightDur]]*Tasks[[#This Row],[_LeafProgress]]</f>
        <v>0</v>
      </c>
      <c r="FX162" s="42" t="n">
        <f aca="false">Tasks[[#This Row],[_WeightDur]]*Tasks[[#This Row],[_PlannedPct]]</f>
        <v>0</v>
      </c>
      <c r="FY1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2" s="42" t="str">
        <f aca="false">IF(AND(Tasks[[#This Row],[_IsLeaf]]=1,N(Tasks[[#This Row],[_Days]])=0,Tasks[[#This Row],[_LeafProgress]]&lt;1),Tasks[[#This Row],[_ShownFcstFinish]]+Tasks[[#This Row],[_Row]]/100000,"")</f>
        <v/>
      </c>
      <c r="GA1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2" s="42" t="str">
        <f aca="false">IF(Tasks[[#This Row],[Task Name]]="","",LEFT(Tasks[[#This Row],[WBS]],FIND(".",Tasks[[#This Row],[WBS]]&amp;".")-1))</f>
        <v/>
      </c>
      <c r="GC162" s="42" t="str">
        <f aca="false">IF(AND(Tasks[[#This Row],[Task Name]]&lt;&gt;"",Tasks[[#This Row],[_Level]]=1),Tasks[[#This Row],[_Row]],"")</f>
        <v/>
      </c>
      <c r="GD162" s="42" t="str">
        <f aca="false">IF(AND(Tasks[[#This Row],[_IsLeaf]]=1,N(Tasks[[#This Row],[_Days]])=0),Tasks[[#This Row],[Planned Finish]]+Tasks[[#This Row],[_Row]]/100000,"")</f>
        <v/>
      </c>
      <c r="GE162" s="42" t="str">
        <f aca="false">IF(AND(Tasks[[#This Row],[_IsLeaf]]=1,Tasks[[#This Row],[_LeafProgress]]&lt;1,OR(N(Tasks[[#This Row],[Finish Var]])&gt;0,Tasks[[#This Row],[Status]]="Late Start")),MAX(0,Tasks[[#This Row],[Finish Var]])+1-Tasks[[#This Row],[_Row]]/1000000,"")</f>
        <v/>
      </c>
      <c r="GF162" s="42" t="str">
        <f aca="false">IF(AND(Tasks[[#This Row],[_IsLeaf]]=1,N(Tasks[[#This Row],[Actual Start]])=0,Tasks[[#This Row],[_ShownFcstStart]]&gt;=StatusDate,Tasks[[#This Row],[_ShownFcstStart]]&lt;=LookaheadEnd),Tasks[[#This Row],[_ShownFcstStart]]+Tasks[[#This Row],[_Row]]/100000,"")</f>
        <v/>
      </c>
      <c r="GG162" s="42" t="str">
        <f aca="false">IF(AND(Tasks[[#This Row],[_IsLeaf]]=1,Tasks[[#This Row],[_LeafProgress]]&lt;1,Tasks[[#This Row],[_ShownFcstFinish]]&gt;=StatusDate,Tasks[[#This Row],[_ShownFcstFinish]]&lt;=LookaheadEnd),Tasks[[#This Row],[_ShownFcstFinish]]+Tasks[[#This Row],[_Row]]/100000,"")</f>
        <v/>
      </c>
      <c r="GH162" s="42" t="str">
        <f aca="false">IF(Tasks[[#This Row],[_LeafCritical]],Tasks[[#This Row],[_ShownFcstStart]]+Tasks[[#This Row],[_Row]]/100000,"")</f>
        <v/>
      </c>
      <c r="GI162" s="42" t="n">
        <f aca="false">Tasks[[#This Row],[_LeafWork]]*Tasks[[#This Row],[_LeafProgress]]</f>
        <v>0</v>
      </c>
      <c r="GJ162" s="89" t="str">
        <f aca="false">IF(AND(Tasks[[#This Row],[_IsLeaf]]=1,Tasks[[#This Row],[_LeafProgress]]&gt;=1),IF(N(Tasks[[#This Row],[Actual Finish]])&gt;0,Tasks[[#This Row],[Actual Finish]],Tasks[[#This Row],[_ShownFcstFinish]]),"")</f>
        <v/>
      </c>
      <c r="GK162" s="42" t="n">
        <f aca="false">IF(Tasks[[#This Row],[_IsLeaf]]=1,N(Tasks[[#This Row],[Story Points]]),0)</f>
        <v>0</v>
      </c>
      <c r="GL162" s="42" t="str">
        <f aca="false">""</f>
        <v/>
      </c>
      <c r="GM162" s="88" t="b">
        <f aca="false">IF(Tasks[[#This Row],[Task Name]]="",FALSE(),AND(Tasks[[#This Row],[_IsLeaf]]=1,N(Tasks[[#This Row],[_Days]])=0))</f>
        <v>0</v>
      </c>
      <c r="GN162" s="89" t="n">
        <f aca="false">IF(Tasks[[#This Row],[Task Name]]="",0,IF(AND(Tasks[[#This Row],[_IsLeaf]]=1,NOT(Tasks[[#This Row],[_IsMilestone]]),N(Tasks[[#This Row],[Progress]])&gt;0),Tasks[[#This Row],[Start]],0))</f>
        <v>0</v>
      </c>
      <c r="GO162" s="89" t="n">
        <f aca="false">IF(Tasks[[#This Row],[_DoneFrom]]=0,0,IF(Tasks[[#This Row],[Progress]]&gt;=1,Tasks[[#This Row],[Finish]],MAX(Tasks[[#This Row],[_DoneFrom]],Tasks[[#This Row],[Start]]+ROUND((Tasks[[#This Row],[Finish]]-Tasks[[#This Row],[Start]]+1)*Tasks[[#This Row],[Progress]],0)-1)))</f>
        <v>0</v>
      </c>
      <c r="GP162" s="89" t="n">
        <f aca="false">IF(Tasks[[#This Row],[Task Name]]="",0,IF(OR(NOT(Tasks[[#This Row],[_IsLeaf]]=1),Tasks[[#This Row],[_IsMilestone]],N(Tasks[[#This Row],[Progress]])&gt;=1),0,IF(Tasks[[#This Row],[_DoneTo]]&gt;0,Tasks[[#This Row],[_DoneTo]]+1,Tasks[[#This Row],[Start]])))</f>
        <v>0</v>
      </c>
      <c r="GQ162" s="89" t="n">
        <f aca="false">IF(Tasks[[#This Row],[_RemFrom]]=0,0,Tasks[[#This Row],[Finish]])</f>
        <v>0</v>
      </c>
      <c r="GR162" s="88" t="b">
        <f aca="false">IF(Tasks[[#This Row],[Task Name]]="",FALSE(),OR(NOT(BaselineSet),N(Tasks[[#This Row],[Baseline Start]])&gt;0))</f>
        <v>0</v>
      </c>
      <c r="GS1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2" s="90" t="str">
        <f aca="false">IF(Tasks[[#This Row],[_IsLeaf]]=1,Tasks[[#This Row],[_Row]],"")</f>
        <v/>
      </c>
      <c r="GW162" s="90" t="str">
        <f aca="false">IFERROR(INDEX(Tasks[UID],SMALL(Tasks[_PickKey],Tasks[[#This Row],[_Row]]))&amp;" "&amp;INDEX(Tasks[Task Name],SMALL(Tasks[_PickKey],Tasks[[#This Row],[_Row]])),"")</f>
        <v/>
      </c>
      <c r="GX162" s="42" t="str">
        <f aca="false">IF(Tasks[[#This Row],[Task Name]]="","",IF(Tasks[[#This Row],[_IsSummary]],NETWORKDAYS.INTL(Tasks[[#This Row],[Start]],Tasks[[#This Row],[Finish]],WorkWeek,Holidays),N(Tasks[[#This Row],[_Days]])))</f>
        <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3"/>
      <c r="U163" s="23"/>
      <c r="V163" s="83"/>
      <c r="W163" s="23"/>
      <c r="X163" s="83"/>
      <c r="Y163" s="23"/>
      <c r="Z163" s="83"/>
      <c r="AA163" s="23"/>
      <c r="AB163" s="23"/>
      <c r="AC163" s="7"/>
      <c r="AD163" s="7"/>
      <c r="AE163" s="62" t="str">
        <f aca="false">IF(Tasks[[#This Row],[Task Name]]="","",IF(Tasks[[#This Row],[_IsSummary]],MIN(INDEX(Tasks[_ShownFcstStart],Tasks[[#This Row],[_Row]]+1):INDEX(Tasks[_ShownFcstStart],Tasks[[#This Row],[_Row]]+Tasks[[#This Row],[_Descendants]])),Tasks[[#This Row],[_ShownFcstStart]]))</f>
        <v/>
      </c>
      <c r="AF163" s="62"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3" s="7"/>
      <c r="AK163" s="22"/>
      <c r="AL163" s="23"/>
      <c r="AM163" s="7"/>
      <c r="AN163" s="46"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2" t="str">
        <f aca="false">IF(Tasks[[#This Row],[Task Name]]="","",IF(N(Tasks[[#This Row],[Baseline Start]])&gt;0,Tasks[[#This Row],[Baseline Start]],Tasks[[#This Row],[_CalcStart]]))</f>
        <v/>
      </c>
      <c r="AR163" s="62" t="str">
        <f aca="false">IF(Tasks[[#This Row],[Task Name]]="","",IF(N(Tasks[[#This Row],[Baseline Finish]])&gt;0,Tasks[[#This Row],[Baseline Finish]],Tasks[[#This Row],[_CalcFinish]]))</f>
        <v/>
      </c>
      <c r="AS163" s="46" t="str">
        <f aca="false">IF(Tasks[[#This Row],[Task Name]]="","",IF(Tasks[[#This Row],[Start]]&gt;=Tasks[[#This Row],[Planned Start]],NETWORKDAYS.INTL(Tasks[[#This Row],[Planned Start]],Tasks[[#This Row],[Start]],WorkWeek,Holidays)-1,1-NETWORKDAYS.INTL(Tasks[[#This Row],[Start]],Tasks[[#This Row],[Planned Start]],WorkWeek,Holidays)))</f>
        <v/>
      </c>
      <c r="AT163" s="62" t="str">
        <f aca="false">IF(Tasks[[#This Row],[Task Name]]="","",IF(Tasks[[#This Row],[_IsSummary]],MIN(INDEX(Tasks[_LeafLateStart],Tasks[[#This Row],[_Row]]+1):INDEX(Tasks[_LeafLateStart],Tasks[[#This Row],[_Row]]+Tasks[[#This Row],[_Descendants]])),Tasks[[#This Row],[_LeafLateStart]]))</f>
        <v/>
      </c>
      <c r="AU163" s="62" t="str">
        <f aca="false">IF(Tasks[[#This Row],[Task Name]]="","",IF(Tasks[[#This Row],[_IsSummary]],MAX(INDEX(Tasks[_LeafLateFinish],Tasks[[#This Row],[_Row]]+1):INDEX(Tasks[_LeafLateFinish],Tasks[[#This Row],[_Row]]+Tasks[[#This Row],[_Descendants]])),Tasks[[#This Row],[_LeafLateFinish]]))</f>
        <v/>
      </c>
      <c r="AV163" s="46"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4"/>
      <c r="BA1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5"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6"/>
      <c r="BJ163" s="22"/>
      <c r="BK163" s="46" t="str">
        <f aca="false">IF(OR(Tasks[[#This Row],[Task Name]]="",Tasks[[#This Row],[Baseline Duration]]=""),"",Tasks[[#This Row],[_SpanDays]]-N(Tasks[[#This Row],[Baseline Duration]]))</f>
        <v/>
      </c>
      <c r="BL163" s="85" t="str">
        <f aca="false">IF(OR(Tasks[[#This Row],[Task Name]]="",Tasks[[#This Row],[Baseline Work]]=""),"",Tasks[[#This Row],[Work]]-N(Tasks[[#This Row],[Baseline Work]]))</f>
        <v/>
      </c>
      <c r="BM163" s="62" t="str">
        <f aca="false">IF(Tasks[[#This Row],[Task Name]]="","",IF(OR(TakeBaseline="Yes",N(Tasks[[#This Row],[Baseline Start]])=0),Tasks[[#This Row],[Start]],Tasks[[#This Row],[Baseline Start]]))</f>
        <v/>
      </c>
      <c r="BN163" s="62"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5" t="str">
        <f aca="false">IF(Tasks[[#This Row],[Task Name]]="","",IF(OR(TakeBaseline="Yes",N(Tasks[[#This Row],[Baseline Work]])=0),Tasks[[#This Row],[Work]],Tasks[[#This Row],[Baseline Work]]))</f>
        <v/>
      </c>
      <c r="BQ163" s="7"/>
      <c r="BR163" s="7"/>
      <c r="BS163" s="22"/>
      <c r="BT163" s="87"/>
      <c r="BU163" s="42" t="str">
        <f aca="false">IF(Tasks[[#This Row],[Task Name]]="","",MAX(1,N(Tasks[[#This Row],[Level]])))</f>
        <v/>
      </c>
      <c r="BV163" s="42" t="n">
        <f aca="false">ROW()-ROW(Tasks[[#Headers],[ID]])</f>
        <v>158</v>
      </c>
      <c r="BW163" s="42" t="n">
        <f aca="false">IF(OR(Tasks[[#This Row],[Task Name]]="",Tasks[[#This Row],[_Level]]&lt;=1),0,IFERROR(LOOKUP(2,1/(Tasks[[#Headers],[_Level]]:Tasks[[#This Row],[_Level]]=Tasks[[#This Row],[_Level]]-1),ROW(Tasks[[#Headers],[_Level]]:Tasks[[#This Row],[_Level]])),0))</f>
        <v>0</v>
      </c>
      <c r="BX163" s="42" t="n">
        <f aca="false">IFERROR(N(INDEX(Tasks[_Level],Tasks[[#This Row],[_Row]]+1)),0)</f>
        <v>0</v>
      </c>
      <c r="BY163" s="88" t="b">
        <f aca="false">AND(Tasks[[#This Row],[Task Name]]&lt;&gt;"",Tasks[[#This Row],[_NextLevel]]&gt;Tasks[[#This Row],[_Level]])</f>
        <v>0</v>
      </c>
      <c r="BZ163" s="42" t="n">
        <f aca="false">IF(Tasks[[#This Row],[_IsSummary]],COUNTIF(Tasks[WBS],Tasks[[#This Row],[WBS]]&amp;".*"),0)</f>
        <v>0</v>
      </c>
      <c r="CA163" s="42" t="n">
        <f aca="false">IF(AND(Tasks[[#This Row],[Task Name]]&lt;&gt;"",NOT(Tasks[[#This Row],[_IsSummary]])),1,0)</f>
        <v>0</v>
      </c>
      <c r="CB163" s="42" t="n">
        <f aca="false">IF(N(Tasks[[#This Row],[_Pred1UID]])=0,0,IFERROR(MATCH(Tasks[[#This Row],[_Pred1UID]],Tasks[UID],0),-1))</f>
        <v>0</v>
      </c>
      <c r="CC163" s="42" t="n">
        <f aca="false">IF(N(Tasks[[#This Row],[_Pred2UID]])=0,0,IFERROR(MATCH(Tasks[[#This Row],[_Pred2UID]],Tasks[UID],0),-1))</f>
        <v>0</v>
      </c>
      <c r="CD163" s="42" t="n">
        <f aca="false">IF(N(Tasks[[#This Row],[_Pred3UID]])=0,0,IFERROR(MATCH(Tasks[[#This Row],[_Pred3UID]],Tasks[UID],0),-1))</f>
        <v>0</v>
      </c>
      <c r="CE163" s="42" t="n">
        <f aca="false">IF(N(Tasks[[#This Row],[_Pred4UID]])=0,0,IFERROR(MATCH(Tasks[[#This Row],[_Pred4UID]],Tasks[UID],0),-1))</f>
        <v>0</v>
      </c>
      <c r="CF1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3" s="89" t="n">
        <f aca="false">IF(OR(Tasks[[#This Row],[_ConstraintCode]]=2,Tasks[[#This Row],[_ConstraintCode]]=3,Tasks[[#This Row],[_ConstraintCode]]=4,Tasks[[#This Row],[_ConstraintCode]]=6),Tasks[[#This Row],[_ConstraintStart]],0)</f>
        <v>0</v>
      </c>
      <c r="CI163" s="89" t="n">
        <f aca="false">IF(OR(Tasks[[#This Row],[_ConstraintCode]]=2,Tasks[[#This Row],[_ConstraintCode]]=3,Tasks[[#This Row],[_ConstraintCode]]=5,Tasks[[#This Row],[_ConstraintCode]]=7),Tasks[[#This Row],[_ConstraintStart]],2958465)</f>
        <v>2958465</v>
      </c>
      <c r="CJ1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3" s="89" t="str">
        <f aca="false">IF(NOT(Tasks[[#This Row],[_IsLeaf]]=1),"",IF(N(Tasks[[#This Row],[_Days]])&lt;=0,Tasks[[#This Row],[_LeafCalcStart]],WORKDAY.INTL(Tasks[[#This Row],[_LeafCalcStart]],Tasks[[#This Row],[_Days]]-1,WorkWeek,Holidays)))</f>
        <v/>
      </c>
      <c r="CL1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3" s="42" t="str">
        <f aca="false">IF(Tasks[[#This Row],[_Predecessors]]="","",TRIM(MID(SUBSTITUTE(SUBSTITUTE(SUBSTITUTE(UPPER(Tasks[[#This Row],[_Predecessors]]),";",",")," ",""),",",REPT(" ",99)),1,99)))</f>
        <v/>
      </c>
      <c r="CO163" s="42" t="str">
        <f aca="false">IF(Tasks[[#This Row],[_Pred1Text]]="","",IFERROR(VALUE(LEFT(Tasks[[#This Row],[_Pred1Text]],MIN(FIND("F",Tasks[[#This Row],[_Pred1Text]]&amp;"F"),FIND("S",Tasks[[#This Row],[_Pred1Text]]&amp;"S"),FIND("+",Tasks[[#This Row],[_Pred1Text]]&amp;"+"),FIND("-",Tasks[[#This Row],[_Pred1Text]]&amp;"-"))-1)),""))</f>
        <v/>
      </c>
      <c r="CP1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3" s="42" t="str">
        <f aca="false">IF(Tasks[[#This Row],[_Pred1Text]]="","",TRIM(MID(SUBSTITUTE(SUBSTITUTE(SUBSTITUTE(UPPER(Tasks[[#This Row],[_Predecessors]]),";",",")," ",""),",",REPT(" ",99)),100,99)))</f>
        <v/>
      </c>
      <c r="CS163" s="42" t="str">
        <f aca="false">IF(Tasks[[#This Row],[_Pred2Text]]="","",IFERROR(VALUE(LEFT(Tasks[[#This Row],[_Pred2Text]],MIN(FIND("F",Tasks[[#This Row],[_Pred2Text]]&amp;"F"),FIND("S",Tasks[[#This Row],[_Pred2Text]]&amp;"S"),FIND("+",Tasks[[#This Row],[_Pred2Text]]&amp;"+"),FIND("-",Tasks[[#This Row],[_Pred2Text]]&amp;"-"))-1)),""))</f>
        <v/>
      </c>
      <c r="CT1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3" s="42" t="str">
        <f aca="false">IF(Tasks[[#This Row],[_Pred2Text]]="","",TRIM(MID(SUBSTITUTE(SUBSTITUTE(SUBSTITUTE(UPPER(Tasks[[#This Row],[_Predecessors]]),";",",")," ",""),",",REPT(" ",99)),199,99)))</f>
        <v/>
      </c>
      <c r="CW163" s="42" t="str">
        <f aca="false">IF(Tasks[[#This Row],[_Pred3Text]]="","",IFERROR(VALUE(LEFT(Tasks[[#This Row],[_Pred3Text]],MIN(FIND("F",Tasks[[#This Row],[_Pred3Text]]&amp;"F"),FIND("S",Tasks[[#This Row],[_Pred3Text]]&amp;"S"),FIND("+",Tasks[[#This Row],[_Pred3Text]]&amp;"+"),FIND("-",Tasks[[#This Row],[_Pred3Text]]&amp;"-"))-1)),""))</f>
        <v/>
      </c>
      <c r="CX1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3" s="42" t="str">
        <f aca="false">IF(Tasks[[#This Row],[_Pred3Text]]="","",TRIM(MID(SUBSTITUTE(SUBSTITUTE(SUBSTITUTE(UPPER(Tasks[[#This Row],[_Predecessors]]),";",",")," ",""),",",REPT(" ",99)),298,99)))</f>
        <v/>
      </c>
      <c r="DA163" s="42" t="str">
        <f aca="false">IF(Tasks[[#This Row],[_Pred4Text]]="","",IFERROR(VALUE(LEFT(Tasks[[#This Row],[_Pred4Text]],MIN(FIND("F",Tasks[[#This Row],[_Pred4Text]]&amp;"F"),FIND("S",Tasks[[#This Row],[_Pred4Text]]&amp;"S"),FIND("+",Tasks[[#This Row],[_Pred4Text]]&amp;"+"),FIND("-",Tasks[[#This Row],[_Pred4Text]]&amp;"-"))-1)),""))</f>
        <v/>
      </c>
      <c r="DB1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3" s="42" t="str">
        <f aca="false">IF(OR(Tasks[[#This Row],[Task Name]]="",Tasks[[#This Row],[_Resources]]=""),"",TRIM(MID(SUBSTITUTE(Tasks[[#This Row],[_Resources]],",",REPT(" ",99)),1,99)))</f>
        <v/>
      </c>
      <c r="DE163" s="42" t="str">
        <f aca="false">IF(Tasks[[#This Row],[_Res1Text]]="","",TRIM(MID(SUBSTITUTE(Tasks[[#This Row],[_Resources]],",",REPT(" ",99)),100,99)))</f>
        <v/>
      </c>
      <c r="DF163" s="42" t="str">
        <f aca="false">IF(Tasks[[#This Row],[_Res2Text]]="","",TRIM(MID(SUBSTITUTE(Tasks[[#This Row],[_Resources]],",",REPT(" ",99)),199,99)))</f>
        <v/>
      </c>
      <c r="DG163" s="42" t="str">
        <f aca="false">IF(Tasks[[#This Row],[_Res3Text]]="","",TRIM(MID(SUBSTITUTE(Tasks[[#This Row],[_Resources]],",",REPT(" ",99)),298,99)))</f>
        <v/>
      </c>
      <c r="DH163" s="42" t="n">
        <f aca="false">IF(Tasks[[#This Row],[_Res1Text]]="",0,IFERROR(MATCH(TRIM(LEFT(Tasks[[#This Row],[_Res1Text]],FIND("[",Tasks[[#This Row],[_Res1Text]]&amp;"[")-1)),res_Name,0),IFERROR(MATCH(TRIM(LEFT(Tasks[[#This Row],[_Res1Text]],FIND("[",Tasks[[#This Row],[_Res1Text]]&amp;"[")-1)),res_Initials,0),0)))</f>
        <v>0</v>
      </c>
      <c r="DI163" s="42" t="n">
        <f aca="false">IF(Tasks[[#This Row],[_Res2Text]]="",0,IFERROR(MATCH(TRIM(LEFT(Tasks[[#This Row],[_Res2Text]],FIND("[",Tasks[[#This Row],[_Res2Text]]&amp;"[")-1)),res_Name,0),IFERROR(MATCH(TRIM(LEFT(Tasks[[#This Row],[_Res2Text]],FIND("[",Tasks[[#This Row],[_Res2Text]]&amp;"[")-1)),res_Initials,0),0)))</f>
        <v>0</v>
      </c>
      <c r="DJ163" s="42" t="n">
        <f aca="false">IF(Tasks[[#This Row],[_Res3Text]]="",0,IFERROR(MATCH(TRIM(LEFT(Tasks[[#This Row],[_Res3Text]],FIND("[",Tasks[[#This Row],[_Res3Text]]&amp;"[")-1)),res_Name,0),IFERROR(MATCH(TRIM(LEFT(Tasks[[#This Row],[_Res3Text]],FIND("[",Tasks[[#This Row],[_Res3Text]]&amp;"[")-1)),res_Initials,0),0)))</f>
        <v>0</v>
      </c>
      <c r="DK163" s="42" t="n">
        <f aca="false">IF(Tasks[[#This Row],[_Res4Text]]="",0,IFERROR(MATCH(TRIM(LEFT(Tasks[[#This Row],[_Res4Text]],FIND("[",Tasks[[#This Row],[_Res4Text]]&amp;"[")-1)),res_Name,0),IFERROR(MATCH(TRIM(LEFT(Tasks[[#This Row],[_Res4Text]],FIND("[",Tasks[[#This Row],[_Res4Text]]&amp;"[")-1)),res_Initials,0),0)))</f>
        <v>0</v>
      </c>
      <c r="DL163" s="42" t="str">
        <f aca="false">IF(Tasks[[#This Row],[_Res1Text]]="","",IF(Tasks[[#This Row],[_Res1Row]]&gt;0,INDEX(res_Name,Tasks[[#This Row],[_Res1Row]]),TRIM(LEFT(Tasks[[#This Row],[_Res1Text]],FIND("[",Tasks[[#This Row],[_Res1Text]]&amp;"[")-1))))</f>
        <v/>
      </c>
      <c r="DM1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3" s="42" t="n">
        <f aca="false">IF(NOT(Tasks[[#This Row],[_IsLeaf]]=1),0,(Tasks[[#This Row],[_Resource1]]&lt;&gt;"")+(Tasks[[#This Row],[_Res2]]&lt;&gt;"")+(Tasks[[#This Row],[_Res3]]&lt;&gt;"")+(Tasks[[#This Row],[_Res4]]&lt;&gt;""))</f>
        <v>0</v>
      </c>
      <c r="DO163" s="42" t="str">
        <f aca="false">IF(Tasks[[#This Row],[_Res2Text]]="","",IF(Tasks[[#This Row],[_Res2Row]]&gt;0,INDEX(res_Name,Tasks[[#This Row],[_Res2Row]]),TRIM(LEFT(Tasks[[#This Row],[_Res2Text]],FIND("[",Tasks[[#This Row],[_Res2Text]]&amp;"[")-1))))</f>
        <v/>
      </c>
      <c r="DP1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3" s="42" t="n">
        <f aca="false">IF(OR(NOT(Tasks[[#This Row],[_IsLeaf]]=1),Tasks[[#This Row],[_Res2Row]]=0),0,N(Tasks[[#This Row],[_Days]])*HoursPerDay*IF(Tasks[[#This Row],[_Res2Units]]="",DefaultUnits,Tasks[[#This Row],[_Res2Units]]))</f>
        <v>0</v>
      </c>
      <c r="DR163" s="42" t="n">
        <f aca="false">IF(AND(AND(Tasks[[#This Row],[_IsLeaf]]=1,Tasks[[#This Row],[_LeafTotalWork]]&gt;0),Tasks[[#This Row],[_Res2Work]]&gt;0),Tasks[[#This Row],[_Res2Work]]/(Tasks[[#This Row],[_FinishWorkday]]-Tasks[[#This Row],[_StartWorkday]]+1),0)</f>
        <v>0</v>
      </c>
      <c r="DS163" s="42" t="n">
        <f aca="false">Tasks[[#This Row],[_Res2WorkPerWD]]*MAX(0,Tasks[[#This Row],[_StartWorkday]]-1)</f>
        <v>0</v>
      </c>
      <c r="DT163" s="42" t="n">
        <f aca="false">Tasks[[#This Row],[_Res2Work]]*Tasks[[#This Row],[_LeafProgress]]</f>
        <v>0</v>
      </c>
      <c r="DU163" s="42" t="str">
        <f aca="false">IF(Tasks[[#This Row],[_Res3Text]]="","",IF(Tasks[[#This Row],[_Res3Row]]&gt;0,INDEX(res_Name,Tasks[[#This Row],[_Res3Row]]),TRIM(LEFT(Tasks[[#This Row],[_Res3Text]],FIND("[",Tasks[[#This Row],[_Res3Text]]&amp;"[")-1))))</f>
        <v/>
      </c>
      <c r="DV1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3" s="42" t="n">
        <f aca="false">IF(OR(NOT(Tasks[[#This Row],[_IsLeaf]]=1),Tasks[[#This Row],[_Res3Row]]=0),0,N(Tasks[[#This Row],[_Days]])*HoursPerDay*IF(Tasks[[#This Row],[_Res3Units]]="",DefaultUnits,Tasks[[#This Row],[_Res3Units]]))</f>
        <v>0</v>
      </c>
      <c r="DX163" s="42" t="n">
        <f aca="false">IF(AND(AND(Tasks[[#This Row],[_IsLeaf]]=1,Tasks[[#This Row],[_LeafTotalWork]]&gt;0),Tasks[[#This Row],[_Res3Work]]&gt;0),Tasks[[#This Row],[_Res3Work]]/(Tasks[[#This Row],[_FinishWorkday]]-Tasks[[#This Row],[_StartWorkday]]+1),0)</f>
        <v>0</v>
      </c>
      <c r="DY163" s="42" t="n">
        <f aca="false">Tasks[[#This Row],[_Res3WorkPerWD]]*MAX(0,Tasks[[#This Row],[_StartWorkday]]-1)</f>
        <v>0</v>
      </c>
      <c r="DZ163" s="42" t="n">
        <f aca="false">Tasks[[#This Row],[_Res3Work]]*Tasks[[#This Row],[_LeafProgress]]</f>
        <v>0</v>
      </c>
      <c r="EA163" s="42" t="str">
        <f aca="false">IF(Tasks[[#This Row],[_Res4Text]]="","",IF(Tasks[[#This Row],[_Res4Row]]&gt;0,INDEX(res_Name,Tasks[[#This Row],[_Res4Row]]),TRIM(LEFT(Tasks[[#This Row],[_Res4Text]],FIND("[",Tasks[[#This Row],[_Res4Text]]&amp;"[")-1))))</f>
        <v/>
      </c>
      <c r="EB1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3" s="42" t="n">
        <f aca="false">IF(OR(NOT(Tasks[[#This Row],[_IsLeaf]]=1),Tasks[[#This Row],[_Res4Row]]=0),0,N(Tasks[[#This Row],[_Days]])*HoursPerDay*IF(Tasks[[#This Row],[_Res4Units]]="",DefaultUnits,Tasks[[#This Row],[_Res4Units]]))</f>
        <v>0</v>
      </c>
      <c r="ED163" s="42" t="n">
        <f aca="false">IF(AND(AND(Tasks[[#This Row],[_IsLeaf]]=1,Tasks[[#This Row],[_LeafTotalWork]]&gt;0),Tasks[[#This Row],[_Res4Work]]&gt;0),Tasks[[#This Row],[_Res4Work]]/(Tasks[[#This Row],[_FinishWorkday]]-Tasks[[#This Row],[_StartWorkday]]+1),0)</f>
        <v>0</v>
      </c>
      <c r="EE163" s="42" t="n">
        <f aca="false">Tasks[[#This Row],[_Res4WorkPerWD]]*MAX(0,Tasks[[#This Row],[_StartWorkday]]-1)</f>
        <v>0</v>
      </c>
      <c r="EF163" s="42" t="n">
        <f aca="false">Tasks[[#This Row],[_Res4Work]]*Tasks[[#This Row],[_LeafProgress]]</f>
        <v>0</v>
      </c>
      <c r="EG163" s="42" t="n">
        <f aca="false">IF(ISNUMBER(Tasks[[#This Row],[% Complete]]),Tasks[[#This Row],[% Complete]],IF(Tasks[[#This Row],[Stage]]="",0,IFERROR(INDEX(stg_Pct,MATCH(Tasks[[#This Row],[Stage]],stg_Name,0)),0)))</f>
        <v>0</v>
      </c>
      <c r="EH163" s="42" t="n">
        <f aca="false">IF(NOT(Tasks[[#This Row],[_IsLeaf]]=1),0,IF(N(Tasks[[#This Row],[Actual Finish]])&gt;0,1,MIN(1,Tasks[[#This Row],[_Pct]])))</f>
        <v>0</v>
      </c>
      <c r="EI163" s="42" t="n">
        <f aca="false">IF(OR(NOT(Tasks[[#This Row],[_IsLeaf]]=1),Tasks[[#This Row],[_Res1Row]]=0),0,N(Tasks[[#This Row],[_Days]])*HoursPerDay*IF(Tasks[[#This Row],[_Units1]]="",DefaultUnits,Tasks[[#This Row],[_Units1]]))</f>
        <v>0</v>
      </c>
      <c r="EJ163" s="42" t="n">
        <f aca="false">Tasks[[#This Row],[_LeafWork]]+Tasks[[#This Row],[_Res2Work]]+Tasks[[#This Row],[_Res3Work]]+Tasks[[#This Row],[_Res4Work]]</f>
        <v>0</v>
      </c>
      <c r="EK1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3" s="42" t="n">
        <f aca="false">IF(NOT(Tasks[[#This Row],[_IsLeaf]]=1),0,MAX(_xlfn.MAXIFS(Tasks[_Row],Tasks[_Pred1UID],Tasks[[#This Row],[UID]]),_xlfn.MAXIFS(Tasks[_Row],Tasks[_Pred2UID],Tasks[[#This Row],[UID]]),_xlfn.MAXIFS(Tasks[_Row],Tasks[_Pred3UID],Tasks[[#This Row],[UID]]),_xlfn.MAXIFS(Tasks[_Row],Tasks[_Pred4UID],Tasks[[#This Row],[UID]])))</f>
        <v>0</v>
      </c>
      <c r="ET1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3" s="89" t="str">
        <f aca="false">IF(NOT(Tasks[[#This Row],[_IsLeaf]]=1),"",IF(N(Tasks[[#This Row],[_Days]])&lt;=0,Tasks[[#This Row],[_LeafLateFinish]],WORKDAY.INTL(Tasks[[#This Row],[_LeafLateFinish]],-(Tasks[[#This Row],[_Days]]-1),WorkWeek,Holidays)))</f>
        <v/>
      </c>
      <c r="EW1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3" s="88" t="b">
        <f aca="false">AND(Tasks[[#This Row],[_IsLeaf]]=1,Tasks[[#This Row],[_LeafProgress]]&lt;1,N(Tasks[[#This Row],[_LeafTotalSlack]])&lt;=CriticalSlackDays)</f>
        <v>0</v>
      </c>
      <c r="EY163" s="42" t="n">
        <f aca="false">IF(AND(Tasks[[#This Row],[_IsLeaf]]=1,Tasks[[#This Row],[_ConstraintCode]]=1,Tasks[[#This Row],[Mode]]&lt;&gt;"Manual",N(Tasks[[#This Row],[Actual Start]])=0),MAX(0,N(Tasks[[#This Row],[Free Slack]])),0)</f>
        <v>0</v>
      </c>
      <c r="EZ163" s="89" t="str">
        <f aca="false">IF(NOT(Tasks[[#This Row],[_IsLeaf]]=1),"",IF(Tasks[[#This Row],[_AlapShift]]=0,Tasks[[#This Row],[_LeafCalcStart]],WORKDAY.INTL(Tasks[[#This Row],[_LeafCalcStart]],Tasks[[#This Row],[_AlapShift]],WorkWeek,Holidays)))</f>
        <v/>
      </c>
      <c r="FA163" s="89" t="str">
        <f aca="false">IF(NOT(Tasks[[#This Row],[_IsLeaf]]=1),"",IF(Tasks[[#This Row],[_AlapShift]]=0,Tasks[[#This Row],[_LeafCalcFinish]],WORKDAY.INTL(Tasks[[#This Row],[_LeafCalcFinish]],Tasks[[#This Row],[_AlapShift]],WorkWeek,Holidays)))</f>
        <v/>
      </c>
      <c r="FB163" s="89" t="str">
        <f aca="false">IF(NOT(Tasks[[#This Row],[_IsLeaf]]=1),"",IF(Tasks[[#This Row],[_AlapShift]]=0,Tasks[[#This Row],[_LeafFcstStart]],WORKDAY.INTL(Tasks[[#This Row],[_LeafFcstStart]],Tasks[[#This Row],[_AlapShift]],WorkWeek,Holidays)))</f>
        <v/>
      </c>
      <c r="FC163" s="89" t="str">
        <f aca="false">IF(NOT(Tasks[[#This Row],[_IsLeaf]]=1),"",IF(Tasks[[#This Row],[_AlapShift]]=0,Tasks[[#This Row],[_LeafFcstFinish]],WORKDAY.INTL(Tasks[[#This Row],[_LeafFcstFinish]],Tasks[[#This Row],[_AlapShift]],WorkWeek,Holidays)))</f>
        <v/>
      </c>
      <c r="FD163" s="89" t="str">
        <f aca="false">IF(Tasks[[#This Row],[Task Name]]="","",IF(Tasks[[#This Row],[_IsSummary]],MIN(INDEX(Tasks[_ShownCalcStart],Tasks[[#This Row],[_Row]]+1):INDEX(Tasks[_ShownCalcStart],Tasks[[#This Row],[_Row]]+Tasks[[#This Row],[_Descendants]])),Tasks[[#This Row],[_ShownCalcStart]]))</f>
        <v/>
      </c>
      <c r="FE163" s="89" t="str">
        <f aca="false">IF(Tasks[[#This Row],[Task Name]]="","",IF(Tasks[[#This Row],[_IsSummary]],MAX(INDEX(Tasks[_ShownCalcFinish],Tasks[[#This Row],[_Row]]+1):INDEX(Tasks[_ShownCalcFinish],Tasks[[#This Row],[_Row]]+Tasks[[#This Row],[_Descendants]])),Tasks[[#This Row],[_ShownCalcFinish]]))</f>
        <v/>
      </c>
      <c r="FF1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3" s="42" t="n">
        <f aca="false">IF(AND(Tasks[[#This Row],[_IsLeaf]]=1,Tasks[[#This Row],[_LeafTotalWork]]&gt;0),NETWORKDAYS.INTL(ProjectStart,Tasks[[#This Row],[_ShownFcstStart]],WorkWeek,Holidays),0)</f>
        <v>0</v>
      </c>
      <c r="FS163" s="42" t="n">
        <f aca="false">IF(AND(Tasks[[#This Row],[_IsLeaf]]=1,Tasks[[#This Row],[_LeafTotalWork]]&gt;0),MAX(Tasks[[#This Row],[_StartWorkday]],NETWORKDAYS.INTL(ProjectStart,Tasks[[#This Row],[_ShownFcstFinish]],WorkWeek,Holidays)),0)</f>
        <v>0</v>
      </c>
      <c r="FT163" s="42" t="n">
        <f aca="false">IF(AND(Tasks[[#This Row],[_IsLeaf]]=1,Tasks[[#This Row],[_LeafTotalWork]]&gt;0),Tasks[[#This Row],[_LeafWork]]/(Tasks[[#This Row],[_FinishWorkday]]-Tasks[[#This Row],[_StartWorkday]]+1),0)</f>
        <v>0</v>
      </c>
      <c r="FU163" s="42" t="n">
        <f aca="false">Tasks[[#This Row],[_WorkPerWorkday]]*(Tasks[[#This Row],[_StartWorkday]]-1)</f>
        <v>-0</v>
      </c>
      <c r="FV163" s="42" t="n">
        <f aca="false">IF(Tasks[[#This Row],[_IsLeaf]]=1,MAX(N(Tasks[[#This Row],[_Days]]),0.1),0)</f>
        <v>0</v>
      </c>
      <c r="FW163" s="42" t="n">
        <f aca="false">Tasks[[#This Row],[_WeightDur]]*Tasks[[#This Row],[_LeafProgress]]</f>
        <v>0</v>
      </c>
      <c r="FX163" s="42" t="n">
        <f aca="false">Tasks[[#This Row],[_WeightDur]]*Tasks[[#This Row],[_PlannedPct]]</f>
        <v>0</v>
      </c>
      <c r="FY1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3" s="42" t="str">
        <f aca="false">IF(AND(Tasks[[#This Row],[_IsLeaf]]=1,N(Tasks[[#This Row],[_Days]])=0,Tasks[[#This Row],[_LeafProgress]]&lt;1),Tasks[[#This Row],[_ShownFcstFinish]]+Tasks[[#This Row],[_Row]]/100000,"")</f>
        <v/>
      </c>
      <c r="GA1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3" s="42" t="str">
        <f aca="false">IF(Tasks[[#This Row],[Task Name]]="","",LEFT(Tasks[[#This Row],[WBS]],FIND(".",Tasks[[#This Row],[WBS]]&amp;".")-1))</f>
        <v/>
      </c>
      <c r="GC163" s="42" t="str">
        <f aca="false">IF(AND(Tasks[[#This Row],[Task Name]]&lt;&gt;"",Tasks[[#This Row],[_Level]]=1),Tasks[[#This Row],[_Row]],"")</f>
        <v/>
      </c>
      <c r="GD163" s="42" t="str">
        <f aca="false">IF(AND(Tasks[[#This Row],[_IsLeaf]]=1,N(Tasks[[#This Row],[_Days]])=0),Tasks[[#This Row],[Planned Finish]]+Tasks[[#This Row],[_Row]]/100000,"")</f>
        <v/>
      </c>
      <c r="GE163" s="42" t="str">
        <f aca="false">IF(AND(Tasks[[#This Row],[_IsLeaf]]=1,Tasks[[#This Row],[_LeafProgress]]&lt;1,OR(N(Tasks[[#This Row],[Finish Var]])&gt;0,Tasks[[#This Row],[Status]]="Late Start")),MAX(0,Tasks[[#This Row],[Finish Var]])+1-Tasks[[#This Row],[_Row]]/1000000,"")</f>
        <v/>
      </c>
      <c r="GF163" s="42" t="str">
        <f aca="false">IF(AND(Tasks[[#This Row],[_IsLeaf]]=1,N(Tasks[[#This Row],[Actual Start]])=0,Tasks[[#This Row],[_ShownFcstStart]]&gt;=StatusDate,Tasks[[#This Row],[_ShownFcstStart]]&lt;=LookaheadEnd),Tasks[[#This Row],[_ShownFcstStart]]+Tasks[[#This Row],[_Row]]/100000,"")</f>
        <v/>
      </c>
      <c r="GG163" s="42" t="str">
        <f aca="false">IF(AND(Tasks[[#This Row],[_IsLeaf]]=1,Tasks[[#This Row],[_LeafProgress]]&lt;1,Tasks[[#This Row],[_ShownFcstFinish]]&gt;=StatusDate,Tasks[[#This Row],[_ShownFcstFinish]]&lt;=LookaheadEnd),Tasks[[#This Row],[_ShownFcstFinish]]+Tasks[[#This Row],[_Row]]/100000,"")</f>
        <v/>
      </c>
      <c r="GH163" s="42" t="str">
        <f aca="false">IF(Tasks[[#This Row],[_LeafCritical]],Tasks[[#This Row],[_ShownFcstStart]]+Tasks[[#This Row],[_Row]]/100000,"")</f>
        <v/>
      </c>
      <c r="GI163" s="42" t="n">
        <f aca="false">Tasks[[#This Row],[_LeafWork]]*Tasks[[#This Row],[_LeafProgress]]</f>
        <v>0</v>
      </c>
      <c r="GJ163" s="89" t="str">
        <f aca="false">IF(AND(Tasks[[#This Row],[_IsLeaf]]=1,Tasks[[#This Row],[_LeafProgress]]&gt;=1),IF(N(Tasks[[#This Row],[Actual Finish]])&gt;0,Tasks[[#This Row],[Actual Finish]],Tasks[[#This Row],[_ShownFcstFinish]]),"")</f>
        <v/>
      </c>
      <c r="GK163" s="42" t="n">
        <f aca="false">IF(Tasks[[#This Row],[_IsLeaf]]=1,N(Tasks[[#This Row],[Story Points]]),0)</f>
        <v>0</v>
      </c>
      <c r="GL163" s="42" t="str">
        <f aca="false">""</f>
        <v/>
      </c>
      <c r="GM163" s="88" t="b">
        <f aca="false">IF(Tasks[[#This Row],[Task Name]]="",FALSE(),AND(Tasks[[#This Row],[_IsLeaf]]=1,N(Tasks[[#This Row],[_Days]])=0))</f>
        <v>0</v>
      </c>
      <c r="GN163" s="89" t="n">
        <f aca="false">IF(Tasks[[#This Row],[Task Name]]="",0,IF(AND(Tasks[[#This Row],[_IsLeaf]]=1,NOT(Tasks[[#This Row],[_IsMilestone]]),N(Tasks[[#This Row],[Progress]])&gt;0),Tasks[[#This Row],[Start]],0))</f>
        <v>0</v>
      </c>
      <c r="GO163" s="89" t="n">
        <f aca="false">IF(Tasks[[#This Row],[_DoneFrom]]=0,0,IF(Tasks[[#This Row],[Progress]]&gt;=1,Tasks[[#This Row],[Finish]],MAX(Tasks[[#This Row],[_DoneFrom]],Tasks[[#This Row],[Start]]+ROUND((Tasks[[#This Row],[Finish]]-Tasks[[#This Row],[Start]]+1)*Tasks[[#This Row],[Progress]],0)-1)))</f>
        <v>0</v>
      </c>
      <c r="GP163" s="89" t="n">
        <f aca="false">IF(Tasks[[#This Row],[Task Name]]="",0,IF(OR(NOT(Tasks[[#This Row],[_IsLeaf]]=1),Tasks[[#This Row],[_IsMilestone]],N(Tasks[[#This Row],[Progress]])&gt;=1),0,IF(Tasks[[#This Row],[_DoneTo]]&gt;0,Tasks[[#This Row],[_DoneTo]]+1,Tasks[[#This Row],[Start]])))</f>
        <v>0</v>
      </c>
      <c r="GQ163" s="89" t="n">
        <f aca="false">IF(Tasks[[#This Row],[_RemFrom]]=0,0,Tasks[[#This Row],[Finish]])</f>
        <v>0</v>
      </c>
      <c r="GR163" s="88" t="b">
        <f aca="false">IF(Tasks[[#This Row],[Task Name]]="",FALSE(),OR(NOT(BaselineSet),N(Tasks[[#This Row],[Baseline Start]])&gt;0))</f>
        <v>0</v>
      </c>
      <c r="GS1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3" s="90" t="str">
        <f aca="false">IF(Tasks[[#This Row],[_IsLeaf]]=1,Tasks[[#This Row],[_Row]],"")</f>
        <v/>
      </c>
      <c r="GW163" s="90" t="str">
        <f aca="false">IFERROR(INDEX(Tasks[UID],SMALL(Tasks[_PickKey],Tasks[[#This Row],[_Row]]))&amp;" "&amp;INDEX(Tasks[Task Name],SMALL(Tasks[_PickKey],Tasks[[#This Row],[_Row]])),"")</f>
        <v/>
      </c>
      <c r="GX163" s="42" t="str">
        <f aca="false">IF(Tasks[[#This Row],[Task Name]]="","",IF(Tasks[[#This Row],[_IsSummary]],NETWORKDAYS.INTL(Tasks[[#This Row],[Start]],Tasks[[#This Row],[Finish]],WorkWeek,Holidays),N(Tasks[[#This Row],[_Days]])))</f>
        <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3"/>
      <c r="U164" s="23"/>
      <c r="V164" s="83"/>
      <c r="W164" s="23"/>
      <c r="X164" s="83"/>
      <c r="Y164" s="23"/>
      <c r="Z164" s="83"/>
      <c r="AA164" s="23"/>
      <c r="AB164" s="23"/>
      <c r="AC164" s="7"/>
      <c r="AD164" s="7"/>
      <c r="AE164" s="62" t="str">
        <f aca="false">IF(Tasks[[#This Row],[Task Name]]="","",IF(Tasks[[#This Row],[_IsSummary]],MIN(INDEX(Tasks[_ShownFcstStart],Tasks[[#This Row],[_Row]]+1):INDEX(Tasks[_ShownFcstStart],Tasks[[#This Row],[_Row]]+Tasks[[#This Row],[_Descendants]])),Tasks[[#This Row],[_ShownFcstStart]]))</f>
        <v/>
      </c>
      <c r="AF164" s="62"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4" s="7"/>
      <c r="AK164" s="22"/>
      <c r="AL164" s="23"/>
      <c r="AM164" s="7"/>
      <c r="AN164" s="46"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2" t="str">
        <f aca="false">IF(Tasks[[#This Row],[Task Name]]="","",IF(N(Tasks[[#This Row],[Baseline Start]])&gt;0,Tasks[[#This Row],[Baseline Start]],Tasks[[#This Row],[_CalcStart]]))</f>
        <v/>
      </c>
      <c r="AR164" s="62" t="str">
        <f aca="false">IF(Tasks[[#This Row],[Task Name]]="","",IF(N(Tasks[[#This Row],[Baseline Finish]])&gt;0,Tasks[[#This Row],[Baseline Finish]],Tasks[[#This Row],[_CalcFinish]]))</f>
        <v/>
      </c>
      <c r="AS164" s="46" t="str">
        <f aca="false">IF(Tasks[[#This Row],[Task Name]]="","",IF(Tasks[[#This Row],[Start]]&gt;=Tasks[[#This Row],[Planned Start]],NETWORKDAYS.INTL(Tasks[[#This Row],[Planned Start]],Tasks[[#This Row],[Start]],WorkWeek,Holidays)-1,1-NETWORKDAYS.INTL(Tasks[[#This Row],[Start]],Tasks[[#This Row],[Planned Start]],WorkWeek,Holidays)))</f>
        <v/>
      </c>
      <c r="AT164" s="62" t="str">
        <f aca="false">IF(Tasks[[#This Row],[Task Name]]="","",IF(Tasks[[#This Row],[_IsSummary]],MIN(INDEX(Tasks[_LeafLateStart],Tasks[[#This Row],[_Row]]+1):INDEX(Tasks[_LeafLateStart],Tasks[[#This Row],[_Row]]+Tasks[[#This Row],[_Descendants]])),Tasks[[#This Row],[_LeafLateStart]]))</f>
        <v/>
      </c>
      <c r="AU164" s="62" t="str">
        <f aca="false">IF(Tasks[[#This Row],[Task Name]]="","",IF(Tasks[[#This Row],[_IsSummary]],MAX(INDEX(Tasks[_LeafLateFinish],Tasks[[#This Row],[_Row]]+1):INDEX(Tasks[_LeafLateFinish],Tasks[[#This Row],[_Row]]+Tasks[[#This Row],[_Descendants]])),Tasks[[#This Row],[_LeafLateFinish]]))</f>
        <v/>
      </c>
      <c r="AV164" s="46"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4"/>
      <c r="BA1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5"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6"/>
      <c r="BJ164" s="22"/>
      <c r="BK164" s="46" t="str">
        <f aca="false">IF(OR(Tasks[[#This Row],[Task Name]]="",Tasks[[#This Row],[Baseline Duration]]=""),"",Tasks[[#This Row],[_SpanDays]]-N(Tasks[[#This Row],[Baseline Duration]]))</f>
        <v/>
      </c>
      <c r="BL164" s="85" t="str">
        <f aca="false">IF(OR(Tasks[[#This Row],[Task Name]]="",Tasks[[#This Row],[Baseline Work]]=""),"",Tasks[[#This Row],[Work]]-N(Tasks[[#This Row],[Baseline Work]]))</f>
        <v/>
      </c>
      <c r="BM164" s="62" t="str">
        <f aca="false">IF(Tasks[[#This Row],[Task Name]]="","",IF(OR(TakeBaseline="Yes",N(Tasks[[#This Row],[Baseline Start]])=0),Tasks[[#This Row],[Start]],Tasks[[#This Row],[Baseline Start]]))</f>
        <v/>
      </c>
      <c r="BN164" s="62"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5" t="str">
        <f aca="false">IF(Tasks[[#This Row],[Task Name]]="","",IF(OR(TakeBaseline="Yes",N(Tasks[[#This Row],[Baseline Work]])=0),Tasks[[#This Row],[Work]],Tasks[[#This Row],[Baseline Work]]))</f>
        <v/>
      </c>
      <c r="BQ164" s="7"/>
      <c r="BR164" s="7"/>
      <c r="BS164" s="22"/>
      <c r="BT164" s="87"/>
      <c r="BU164" s="42" t="str">
        <f aca="false">IF(Tasks[[#This Row],[Task Name]]="","",MAX(1,N(Tasks[[#This Row],[Level]])))</f>
        <v/>
      </c>
      <c r="BV164" s="42" t="n">
        <f aca="false">ROW()-ROW(Tasks[[#Headers],[ID]])</f>
        <v>159</v>
      </c>
      <c r="BW164" s="42" t="n">
        <f aca="false">IF(OR(Tasks[[#This Row],[Task Name]]="",Tasks[[#This Row],[_Level]]&lt;=1),0,IFERROR(LOOKUP(2,1/(Tasks[[#Headers],[_Level]]:Tasks[[#This Row],[_Level]]=Tasks[[#This Row],[_Level]]-1),ROW(Tasks[[#Headers],[_Level]]:Tasks[[#This Row],[_Level]])),0))</f>
        <v>0</v>
      </c>
      <c r="BX164" s="42" t="n">
        <f aca="false">IFERROR(N(INDEX(Tasks[_Level],Tasks[[#This Row],[_Row]]+1)),0)</f>
        <v>0</v>
      </c>
      <c r="BY164" s="88" t="b">
        <f aca="false">AND(Tasks[[#This Row],[Task Name]]&lt;&gt;"",Tasks[[#This Row],[_NextLevel]]&gt;Tasks[[#This Row],[_Level]])</f>
        <v>0</v>
      </c>
      <c r="BZ164" s="42" t="n">
        <f aca="false">IF(Tasks[[#This Row],[_IsSummary]],COUNTIF(Tasks[WBS],Tasks[[#This Row],[WBS]]&amp;".*"),0)</f>
        <v>0</v>
      </c>
      <c r="CA164" s="42" t="n">
        <f aca="false">IF(AND(Tasks[[#This Row],[Task Name]]&lt;&gt;"",NOT(Tasks[[#This Row],[_IsSummary]])),1,0)</f>
        <v>0</v>
      </c>
      <c r="CB164" s="42" t="n">
        <f aca="false">IF(N(Tasks[[#This Row],[_Pred1UID]])=0,0,IFERROR(MATCH(Tasks[[#This Row],[_Pred1UID]],Tasks[UID],0),-1))</f>
        <v>0</v>
      </c>
      <c r="CC164" s="42" t="n">
        <f aca="false">IF(N(Tasks[[#This Row],[_Pred2UID]])=0,0,IFERROR(MATCH(Tasks[[#This Row],[_Pred2UID]],Tasks[UID],0),-1))</f>
        <v>0</v>
      </c>
      <c r="CD164" s="42" t="n">
        <f aca="false">IF(N(Tasks[[#This Row],[_Pred3UID]])=0,0,IFERROR(MATCH(Tasks[[#This Row],[_Pred3UID]],Tasks[UID],0),-1))</f>
        <v>0</v>
      </c>
      <c r="CE164" s="42" t="n">
        <f aca="false">IF(N(Tasks[[#This Row],[_Pred4UID]])=0,0,IFERROR(MATCH(Tasks[[#This Row],[_Pred4UID]],Tasks[UID],0),-1))</f>
        <v>0</v>
      </c>
      <c r="CF1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4" s="89" t="n">
        <f aca="false">IF(OR(Tasks[[#This Row],[_ConstraintCode]]=2,Tasks[[#This Row],[_ConstraintCode]]=3,Tasks[[#This Row],[_ConstraintCode]]=4,Tasks[[#This Row],[_ConstraintCode]]=6),Tasks[[#This Row],[_ConstraintStart]],0)</f>
        <v>0</v>
      </c>
      <c r="CI164" s="89" t="n">
        <f aca="false">IF(OR(Tasks[[#This Row],[_ConstraintCode]]=2,Tasks[[#This Row],[_ConstraintCode]]=3,Tasks[[#This Row],[_ConstraintCode]]=5,Tasks[[#This Row],[_ConstraintCode]]=7),Tasks[[#This Row],[_ConstraintStart]],2958465)</f>
        <v>2958465</v>
      </c>
      <c r="CJ1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4" s="89" t="str">
        <f aca="false">IF(NOT(Tasks[[#This Row],[_IsLeaf]]=1),"",IF(N(Tasks[[#This Row],[_Days]])&lt;=0,Tasks[[#This Row],[_LeafCalcStart]],WORKDAY.INTL(Tasks[[#This Row],[_LeafCalcStart]],Tasks[[#This Row],[_Days]]-1,WorkWeek,Holidays)))</f>
        <v/>
      </c>
      <c r="CL1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4" s="42" t="str">
        <f aca="false">IF(Tasks[[#This Row],[_Predecessors]]="","",TRIM(MID(SUBSTITUTE(SUBSTITUTE(SUBSTITUTE(UPPER(Tasks[[#This Row],[_Predecessors]]),";",",")," ",""),",",REPT(" ",99)),1,99)))</f>
        <v/>
      </c>
      <c r="CO164" s="42" t="str">
        <f aca="false">IF(Tasks[[#This Row],[_Pred1Text]]="","",IFERROR(VALUE(LEFT(Tasks[[#This Row],[_Pred1Text]],MIN(FIND("F",Tasks[[#This Row],[_Pred1Text]]&amp;"F"),FIND("S",Tasks[[#This Row],[_Pred1Text]]&amp;"S"),FIND("+",Tasks[[#This Row],[_Pred1Text]]&amp;"+"),FIND("-",Tasks[[#This Row],[_Pred1Text]]&amp;"-"))-1)),""))</f>
        <v/>
      </c>
      <c r="CP1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4" s="42" t="str">
        <f aca="false">IF(Tasks[[#This Row],[_Pred1Text]]="","",TRIM(MID(SUBSTITUTE(SUBSTITUTE(SUBSTITUTE(UPPER(Tasks[[#This Row],[_Predecessors]]),";",",")," ",""),",",REPT(" ",99)),100,99)))</f>
        <v/>
      </c>
      <c r="CS164" s="42" t="str">
        <f aca="false">IF(Tasks[[#This Row],[_Pred2Text]]="","",IFERROR(VALUE(LEFT(Tasks[[#This Row],[_Pred2Text]],MIN(FIND("F",Tasks[[#This Row],[_Pred2Text]]&amp;"F"),FIND("S",Tasks[[#This Row],[_Pred2Text]]&amp;"S"),FIND("+",Tasks[[#This Row],[_Pred2Text]]&amp;"+"),FIND("-",Tasks[[#This Row],[_Pred2Text]]&amp;"-"))-1)),""))</f>
        <v/>
      </c>
      <c r="CT1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4" s="42" t="str">
        <f aca="false">IF(Tasks[[#This Row],[_Pred2Text]]="","",TRIM(MID(SUBSTITUTE(SUBSTITUTE(SUBSTITUTE(UPPER(Tasks[[#This Row],[_Predecessors]]),";",",")," ",""),",",REPT(" ",99)),199,99)))</f>
        <v/>
      </c>
      <c r="CW164" s="42" t="str">
        <f aca="false">IF(Tasks[[#This Row],[_Pred3Text]]="","",IFERROR(VALUE(LEFT(Tasks[[#This Row],[_Pred3Text]],MIN(FIND("F",Tasks[[#This Row],[_Pred3Text]]&amp;"F"),FIND("S",Tasks[[#This Row],[_Pred3Text]]&amp;"S"),FIND("+",Tasks[[#This Row],[_Pred3Text]]&amp;"+"),FIND("-",Tasks[[#This Row],[_Pred3Text]]&amp;"-"))-1)),""))</f>
        <v/>
      </c>
      <c r="CX1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4" s="42" t="str">
        <f aca="false">IF(Tasks[[#This Row],[_Pred3Text]]="","",TRIM(MID(SUBSTITUTE(SUBSTITUTE(SUBSTITUTE(UPPER(Tasks[[#This Row],[_Predecessors]]),";",",")," ",""),",",REPT(" ",99)),298,99)))</f>
        <v/>
      </c>
      <c r="DA164" s="42" t="str">
        <f aca="false">IF(Tasks[[#This Row],[_Pred4Text]]="","",IFERROR(VALUE(LEFT(Tasks[[#This Row],[_Pred4Text]],MIN(FIND("F",Tasks[[#This Row],[_Pred4Text]]&amp;"F"),FIND("S",Tasks[[#This Row],[_Pred4Text]]&amp;"S"),FIND("+",Tasks[[#This Row],[_Pred4Text]]&amp;"+"),FIND("-",Tasks[[#This Row],[_Pred4Text]]&amp;"-"))-1)),""))</f>
        <v/>
      </c>
      <c r="DB1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4" s="42" t="str">
        <f aca="false">IF(OR(Tasks[[#This Row],[Task Name]]="",Tasks[[#This Row],[_Resources]]=""),"",TRIM(MID(SUBSTITUTE(Tasks[[#This Row],[_Resources]],",",REPT(" ",99)),1,99)))</f>
        <v/>
      </c>
      <c r="DE164" s="42" t="str">
        <f aca="false">IF(Tasks[[#This Row],[_Res1Text]]="","",TRIM(MID(SUBSTITUTE(Tasks[[#This Row],[_Resources]],",",REPT(" ",99)),100,99)))</f>
        <v/>
      </c>
      <c r="DF164" s="42" t="str">
        <f aca="false">IF(Tasks[[#This Row],[_Res2Text]]="","",TRIM(MID(SUBSTITUTE(Tasks[[#This Row],[_Resources]],",",REPT(" ",99)),199,99)))</f>
        <v/>
      </c>
      <c r="DG164" s="42" t="str">
        <f aca="false">IF(Tasks[[#This Row],[_Res3Text]]="","",TRIM(MID(SUBSTITUTE(Tasks[[#This Row],[_Resources]],",",REPT(" ",99)),298,99)))</f>
        <v/>
      </c>
      <c r="DH164" s="42" t="n">
        <f aca="false">IF(Tasks[[#This Row],[_Res1Text]]="",0,IFERROR(MATCH(TRIM(LEFT(Tasks[[#This Row],[_Res1Text]],FIND("[",Tasks[[#This Row],[_Res1Text]]&amp;"[")-1)),res_Name,0),IFERROR(MATCH(TRIM(LEFT(Tasks[[#This Row],[_Res1Text]],FIND("[",Tasks[[#This Row],[_Res1Text]]&amp;"[")-1)),res_Initials,0),0)))</f>
        <v>0</v>
      </c>
      <c r="DI164" s="42" t="n">
        <f aca="false">IF(Tasks[[#This Row],[_Res2Text]]="",0,IFERROR(MATCH(TRIM(LEFT(Tasks[[#This Row],[_Res2Text]],FIND("[",Tasks[[#This Row],[_Res2Text]]&amp;"[")-1)),res_Name,0),IFERROR(MATCH(TRIM(LEFT(Tasks[[#This Row],[_Res2Text]],FIND("[",Tasks[[#This Row],[_Res2Text]]&amp;"[")-1)),res_Initials,0),0)))</f>
        <v>0</v>
      </c>
      <c r="DJ164" s="42" t="n">
        <f aca="false">IF(Tasks[[#This Row],[_Res3Text]]="",0,IFERROR(MATCH(TRIM(LEFT(Tasks[[#This Row],[_Res3Text]],FIND("[",Tasks[[#This Row],[_Res3Text]]&amp;"[")-1)),res_Name,0),IFERROR(MATCH(TRIM(LEFT(Tasks[[#This Row],[_Res3Text]],FIND("[",Tasks[[#This Row],[_Res3Text]]&amp;"[")-1)),res_Initials,0),0)))</f>
        <v>0</v>
      </c>
      <c r="DK164" s="42" t="n">
        <f aca="false">IF(Tasks[[#This Row],[_Res4Text]]="",0,IFERROR(MATCH(TRIM(LEFT(Tasks[[#This Row],[_Res4Text]],FIND("[",Tasks[[#This Row],[_Res4Text]]&amp;"[")-1)),res_Name,0),IFERROR(MATCH(TRIM(LEFT(Tasks[[#This Row],[_Res4Text]],FIND("[",Tasks[[#This Row],[_Res4Text]]&amp;"[")-1)),res_Initials,0),0)))</f>
        <v>0</v>
      </c>
      <c r="DL164" s="42" t="str">
        <f aca="false">IF(Tasks[[#This Row],[_Res1Text]]="","",IF(Tasks[[#This Row],[_Res1Row]]&gt;0,INDEX(res_Name,Tasks[[#This Row],[_Res1Row]]),TRIM(LEFT(Tasks[[#This Row],[_Res1Text]],FIND("[",Tasks[[#This Row],[_Res1Text]]&amp;"[")-1))))</f>
        <v/>
      </c>
      <c r="DM1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4" s="42" t="n">
        <f aca="false">IF(NOT(Tasks[[#This Row],[_IsLeaf]]=1),0,(Tasks[[#This Row],[_Resource1]]&lt;&gt;"")+(Tasks[[#This Row],[_Res2]]&lt;&gt;"")+(Tasks[[#This Row],[_Res3]]&lt;&gt;"")+(Tasks[[#This Row],[_Res4]]&lt;&gt;""))</f>
        <v>0</v>
      </c>
      <c r="DO164" s="42" t="str">
        <f aca="false">IF(Tasks[[#This Row],[_Res2Text]]="","",IF(Tasks[[#This Row],[_Res2Row]]&gt;0,INDEX(res_Name,Tasks[[#This Row],[_Res2Row]]),TRIM(LEFT(Tasks[[#This Row],[_Res2Text]],FIND("[",Tasks[[#This Row],[_Res2Text]]&amp;"[")-1))))</f>
        <v/>
      </c>
      <c r="DP1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4" s="42" t="n">
        <f aca="false">IF(OR(NOT(Tasks[[#This Row],[_IsLeaf]]=1),Tasks[[#This Row],[_Res2Row]]=0),0,N(Tasks[[#This Row],[_Days]])*HoursPerDay*IF(Tasks[[#This Row],[_Res2Units]]="",DefaultUnits,Tasks[[#This Row],[_Res2Units]]))</f>
        <v>0</v>
      </c>
      <c r="DR164" s="42" t="n">
        <f aca="false">IF(AND(AND(Tasks[[#This Row],[_IsLeaf]]=1,Tasks[[#This Row],[_LeafTotalWork]]&gt;0),Tasks[[#This Row],[_Res2Work]]&gt;0),Tasks[[#This Row],[_Res2Work]]/(Tasks[[#This Row],[_FinishWorkday]]-Tasks[[#This Row],[_StartWorkday]]+1),0)</f>
        <v>0</v>
      </c>
      <c r="DS164" s="42" t="n">
        <f aca="false">Tasks[[#This Row],[_Res2WorkPerWD]]*MAX(0,Tasks[[#This Row],[_StartWorkday]]-1)</f>
        <v>0</v>
      </c>
      <c r="DT164" s="42" t="n">
        <f aca="false">Tasks[[#This Row],[_Res2Work]]*Tasks[[#This Row],[_LeafProgress]]</f>
        <v>0</v>
      </c>
      <c r="DU164" s="42" t="str">
        <f aca="false">IF(Tasks[[#This Row],[_Res3Text]]="","",IF(Tasks[[#This Row],[_Res3Row]]&gt;0,INDEX(res_Name,Tasks[[#This Row],[_Res3Row]]),TRIM(LEFT(Tasks[[#This Row],[_Res3Text]],FIND("[",Tasks[[#This Row],[_Res3Text]]&amp;"[")-1))))</f>
        <v/>
      </c>
      <c r="DV1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4" s="42" t="n">
        <f aca="false">IF(OR(NOT(Tasks[[#This Row],[_IsLeaf]]=1),Tasks[[#This Row],[_Res3Row]]=0),0,N(Tasks[[#This Row],[_Days]])*HoursPerDay*IF(Tasks[[#This Row],[_Res3Units]]="",DefaultUnits,Tasks[[#This Row],[_Res3Units]]))</f>
        <v>0</v>
      </c>
      <c r="DX164" s="42" t="n">
        <f aca="false">IF(AND(AND(Tasks[[#This Row],[_IsLeaf]]=1,Tasks[[#This Row],[_LeafTotalWork]]&gt;0),Tasks[[#This Row],[_Res3Work]]&gt;0),Tasks[[#This Row],[_Res3Work]]/(Tasks[[#This Row],[_FinishWorkday]]-Tasks[[#This Row],[_StartWorkday]]+1),0)</f>
        <v>0</v>
      </c>
      <c r="DY164" s="42" t="n">
        <f aca="false">Tasks[[#This Row],[_Res3WorkPerWD]]*MAX(0,Tasks[[#This Row],[_StartWorkday]]-1)</f>
        <v>0</v>
      </c>
      <c r="DZ164" s="42" t="n">
        <f aca="false">Tasks[[#This Row],[_Res3Work]]*Tasks[[#This Row],[_LeafProgress]]</f>
        <v>0</v>
      </c>
      <c r="EA164" s="42" t="str">
        <f aca="false">IF(Tasks[[#This Row],[_Res4Text]]="","",IF(Tasks[[#This Row],[_Res4Row]]&gt;0,INDEX(res_Name,Tasks[[#This Row],[_Res4Row]]),TRIM(LEFT(Tasks[[#This Row],[_Res4Text]],FIND("[",Tasks[[#This Row],[_Res4Text]]&amp;"[")-1))))</f>
        <v/>
      </c>
      <c r="EB1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4" s="42" t="n">
        <f aca="false">IF(OR(NOT(Tasks[[#This Row],[_IsLeaf]]=1),Tasks[[#This Row],[_Res4Row]]=0),0,N(Tasks[[#This Row],[_Days]])*HoursPerDay*IF(Tasks[[#This Row],[_Res4Units]]="",DefaultUnits,Tasks[[#This Row],[_Res4Units]]))</f>
        <v>0</v>
      </c>
      <c r="ED164" s="42" t="n">
        <f aca="false">IF(AND(AND(Tasks[[#This Row],[_IsLeaf]]=1,Tasks[[#This Row],[_LeafTotalWork]]&gt;0),Tasks[[#This Row],[_Res4Work]]&gt;0),Tasks[[#This Row],[_Res4Work]]/(Tasks[[#This Row],[_FinishWorkday]]-Tasks[[#This Row],[_StartWorkday]]+1),0)</f>
        <v>0</v>
      </c>
      <c r="EE164" s="42" t="n">
        <f aca="false">Tasks[[#This Row],[_Res4WorkPerWD]]*MAX(0,Tasks[[#This Row],[_StartWorkday]]-1)</f>
        <v>0</v>
      </c>
      <c r="EF164" s="42" t="n">
        <f aca="false">Tasks[[#This Row],[_Res4Work]]*Tasks[[#This Row],[_LeafProgress]]</f>
        <v>0</v>
      </c>
      <c r="EG164" s="42" t="n">
        <f aca="false">IF(ISNUMBER(Tasks[[#This Row],[% Complete]]),Tasks[[#This Row],[% Complete]],IF(Tasks[[#This Row],[Stage]]="",0,IFERROR(INDEX(stg_Pct,MATCH(Tasks[[#This Row],[Stage]],stg_Name,0)),0)))</f>
        <v>0</v>
      </c>
      <c r="EH164" s="42" t="n">
        <f aca="false">IF(NOT(Tasks[[#This Row],[_IsLeaf]]=1),0,IF(N(Tasks[[#This Row],[Actual Finish]])&gt;0,1,MIN(1,Tasks[[#This Row],[_Pct]])))</f>
        <v>0</v>
      </c>
      <c r="EI164" s="42" t="n">
        <f aca="false">IF(OR(NOT(Tasks[[#This Row],[_IsLeaf]]=1),Tasks[[#This Row],[_Res1Row]]=0),0,N(Tasks[[#This Row],[_Days]])*HoursPerDay*IF(Tasks[[#This Row],[_Units1]]="",DefaultUnits,Tasks[[#This Row],[_Units1]]))</f>
        <v>0</v>
      </c>
      <c r="EJ164" s="42" t="n">
        <f aca="false">Tasks[[#This Row],[_LeafWork]]+Tasks[[#This Row],[_Res2Work]]+Tasks[[#This Row],[_Res3Work]]+Tasks[[#This Row],[_Res4Work]]</f>
        <v>0</v>
      </c>
      <c r="EK1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4" s="42" t="n">
        <f aca="false">IF(NOT(Tasks[[#This Row],[_IsLeaf]]=1),0,MAX(_xlfn.MAXIFS(Tasks[_Row],Tasks[_Pred1UID],Tasks[[#This Row],[UID]]),_xlfn.MAXIFS(Tasks[_Row],Tasks[_Pred2UID],Tasks[[#This Row],[UID]]),_xlfn.MAXIFS(Tasks[_Row],Tasks[_Pred3UID],Tasks[[#This Row],[UID]]),_xlfn.MAXIFS(Tasks[_Row],Tasks[_Pred4UID],Tasks[[#This Row],[UID]])))</f>
        <v>0</v>
      </c>
      <c r="ET1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4" s="89" t="str">
        <f aca="false">IF(NOT(Tasks[[#This Row],[_IsLeaf]]=1),"",IF(N(Tasks[[#This Row],[_Days]])&lt;=0,Tasks[[#This Row],[_LeafLateFinish]],WORKDAY.INTL(Tasks[[#This Row],[_LeafLateFinish]],-(Tasks[[#This Row],[_Days]]-1),WorkWeek,Holidays)))</f>
        <v/>
      </c>
      <c r="EW1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4" s="88" t="b">
        <f aca="false">AND(Tasks[[#This Row],[_IsLeaf]]=1,Tasks[[#This Row],[_LeafProgress]]&lt;1,N(Tasks[[#This Row],[_LeafTotalSlack]])&lt;=CriticalSlackDays)</f>
        <v>0</v>
      </c>
      <c r="EY164" s="42" t="n">
        <f aca="false">IF(AND(Tasks[[#This Row],[_IsLeaf]]=1,Tasks[[#This Row],[_ConstraintCode]]=1,Tasks[[#This Row],[Mode]]&lt;&gt;"Manual",N(Tasks[[#This Row],[Actual Start]])=0),MAX(0,N(Tasks[[#This Row],[Free Slack]])),0)</f>
        <v>0</v>
      </c>
      <c r="EZ164" s="89" t="str">
        <f aca="false">IF(NOT(Tasks[[#This Row],[_IsLeaf]]=1),"",IF(Tasks[[#This Row],[_AlapShift]]=0,Tasks[[#This Row],[_LeafCalcStart]],WORKDAY.INTL(Tasks[[#This Row],[_LeafCalcStart]],Tasks[[#This Row],[_AlapShift]],WorkWeek,Holidays)))</f>
        <v/>
      </c>
      <c r="FA164" s="89" t="str">
        <f aca="false">IF(NOT(Tasks[[#This Row],[_IsLeaf]]=1),"",IF(Tasks[[#This Row],[_AlapShift]]=0,Tasks[[#This Row],[_LeafCalcFinish]],WORKDAY.INTL(Tasks[[#This Row],[_LeafCalcFinish]],Tasks[[#This Row],[_AlapShift]],WorkWeek,Holidays)))</f>
        <v/>
      </c>
      <c r="FB164" s="89" t="str">
        <f aca="false">IF(NOT(Tasks[[#This Row],[_IsLeaf]]=1),"",IF(Tasks[[#This Row],[_AlapShift]]=0,Tasks[[#This Row],[_LeafFcstStart]],WORKDAY.INTL(Tasks[[#This Row],[_LeafFcstStart]],Tasks[[#This Row],[_AlapShift]],WorkWeek,Holidays)))</f>
        <v/>
      </c>
      <c r="FC164" s="89" t="str">
        <f aca="false">IF(NOT(Tasks[[#This Row],[_IsLeaf]]=1),"",IF(Tasks[[#This Row],[_AlapShift]]=0,Tasks[[#This Row],[_LeafFcstFinish]],WORKDAY.INTL(Tasks[[#This Row],[_LeafFcstFinish]],Tasks[[#This Row],[_AlapShift]],WorkWeek,Holidays)))</f>
        <v/>
      </c>
      <c r="FD164" s="89" t="str">
        <f aca="false">IF(Tasks[[#This Row],[Task Name]]="","",IF(Tasks[[#This Row],[_IsSummary]],MIN(INDEX(Tasks[_ShownCalcStart],Tasks[[#This Row],[_Row]]+1):INDEX(Tasks[_ShownCalcStart],Tasks[[#This Row],[_Row]]+Tasks[[#This Row],[_Descendants]])),Tasks[[#This Row],[_ShownCalcStart]]))</f>
        <v/>
      </c>
      <c r="FE164" s="89" t="str">
        <f aca="false">IF(Tasks[[#This Row],[Task Name]]="","",IF(Tasks[[#This Row],[_IsSummary]],MAX(INDEX(Tasks[_ShownCalcFinish],Tasks[[#This Row],[_Row]]+1):INDEX(Tasks[_ShownCalcFinish],Tasks[[#This Row],[_Row]]+Tasks[[#This Row],[_Descendants]])),Tasks[[#This Row],[_ShownCalcFinish]]))</f>
        <v/>
      </c>
      <c r="FF1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4" s="42" t="n">
        <f aca="false">IF(AND(Tasks[[#This Row],[_IsLeaf]]=1,Tasks[[#This Row],[_LeafTotalWork]]&gt;0),NETWORKDAYS.INTL(ProjectStart,Tasks[[#This Row],[_ShownFcstStart]],WorkWeek,Holidays),0)</f>
        <v>0</v>
      </c>
      <c r="FS164" s="42" t="n">
        <f aca="false">IF(AND(Tasks[[#This Row],[_IsLeaf]]=1,Tasks[[#This Row],[_LeafTotalWork]]&gt;0),MAX(Tasks[[#This Row],[_StartWorkday]],NETWORKDAYS.INTL(ProjectStart,Tasks[[#This Row],[_ShownFcstFinish]],WorkWeek,Holidays)),0)</f>
        <v>0</v>
      </c>
      <c r="FT164" s="42" t="n">
        <f aca="false">IF(AND(Tasks[[#This Row],[_IsLeaf]]=1,Tasks[[#This Row],[_LeafTotalWork]]&gt;0),Tasks[[#This Row],[_LeafWork]]/(Tasks[[#This Row],[_FinishWorkday]]-Tasks[[#This Row],[_StartWorkday]]+1),0)</f>
        <v>0</v>
      </c>
      <c r="FU164" s="42" t="n">
        <f aca="false">Tasks[[#This Row],[_WorkPerWorkday]]*(Tasks[[#This Row],[_StartWorkday]]-1)</f>
        <v>-0</v>
      </c>
      <c r="FV164" s="42" t="n">
        <f aca="false">IF(Tasks[[#This Row],[_IsLeaf]]=1,MAX(N(Tasks[[#This Row],[_Days]]),0.1),0)</f>
        <v>0</v>
      </c>
      <c r="FW164" s="42" t="n">
        <f aca="false">Tasks[[#This Row],[_WeightDur]]*Tasks[[#This Row],[_LeafProgress]]</f>
        <v>0</v>
      </c>
      <c r="FX164" s="42" t="n">
        <f aca="false">Tasks[[#This Row],[_WeightDur]]*Tasks[[#This Row],[_PlannedPct]]</f>
        <v>0</v>
      </c>
      <c r="FY1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4" s="42" t="str">
        <f aca="false">IF(AND(Tasks[[#This Row],[_IsLeaf]]=1,N(Tasks[[#This Row],[_Days]])=0,Tasks[[#This Row],[_LeafProgress]]&lt;1),Tasks[[#This Row],[_ShownFcstFinish]]+Tasks[[#This Row],[_Row]]/100000,"")</f>
        <v/>
      </c>
      <c r="GA1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4" s="42" t="str">
        <f aca="false">IF(Tasks[[#This Row],[Task Name]]="","",LEFT(Tasks[[#This Row],[WBS]],FIND(".",Tasks[[#This Row],[WBS]]&amp;".")-1))</f>
        <v/>
      </c>
      <c r="GC164" s="42" t="str">
        <f aca="false">IF(AND(Tasks[[#This Row],[Task Name]]&lt;&gt;"",Tasks[[#This Row],[_Level]]=1),Tasks[[#This Row],[_Row]],"")</f>
        <v/>
      </c>
      <c r="GD164" s="42" t="str">
        <f aca="false">IF(AND(Tasks[[#This Row],[_IsLeaf]]=1,N(Tasks[[#This Row],[_Days]])=0),Tasks[[#This Row],[Planned Finish]]+Tasks[[#This Row],[_Row]]/100000,"")</f>
        <v/>
      </c>
      <c r="GE164" s="42" t="str">
        <f aca="false">IF(AND(Tasks[[#This Row],[_IsLeaf]]=1,Tasks[[#This Row],[_LeafProgress]]&lt;1,OR(N(Tasks[[#This Row],[Finish Var]])&gt;0,Tasks[[#This Row],[Status]]="Late Start")),MAX(0,Tasks[[#This Row],[Finish Var]])+1-Tasks[[#This Row],[_Row]]/1000000,"")</f>
        <v/>
      </c>
      <c r="GF164" s="42" t="str">
        <f aca="false">IF(AND(Tasks[[#This Row],[_IsLeaf]]=1,N(Tasks[[#This Row],[Actual Start]])=0,Tasks[[#This Row],[_ShownFcstStart]]&gt;=StatusDate,Tasks[[#This Row],[_ShownFcstStart]]&lt;=LookaheadEnd),Tasks[[#This Row],[_ShownFcstStart]]+Tasks[[#This Row],[_Row]]/100000,"")</f>
        <v/>
      </c>
      <c r="GG164" s="42" t="str">
        <f aca="false">IF(AND(Tasks[[#This Row],[_IsLeaf]]=1,Tasks[[#This Row],[_LeafProgress]]&lt;1,Tasks[[#This Row],[_ShownFcstFinish]]&gt;=StatusDate,Tasks[[#This Row],[_ShownFcstFinish]]&lt;=LookaheadEnd),Tasks[[#This Row],[_ShownFcstFinish]]+Tasks[[#This Row],[_Row]]/100000,"")</f>
        <v/>
      </c>
      <c r="GH164" s="42" t="str">
        <f aca="false">IF(Tasks[[#This Row],[_LeafCritical]],Tasks[[#This Row],[_ShownFcstStart]]+Tasks[[#This Row],[_Row]]/100000,"")</f>
        <v/>
      </c>
      <c r="GI164" s="42" t="n">
        <f aca="false">Tasks[[#This Row],[_LeafWork]]*Tasks[[#This Row],[_LeafProgress]]</f>
        <v>0</v>
      </c>
      <c r="GJ164" s="89" t="str">
        <f aca="false">IF(AND(Tasks[[#This Row],[_IsLeaf]]=1,Tasks[[#This Row],[_LeafProgress]]&gt;=1),IF(N(Tasks[[#This Row],[Actual Finish]])&gt;0,Tasks[[#This Row],[Actual Finish]],Tasks[[#This Row],[_ShownFcstFinish]]),"")</f>
        <v/>
      </c>
      <c r="GK164" s="42" t="n">
        <f aca="false">IF(Tasks[[#This Row],[_IsLeaf]]=1,N(Tasks[[#This Row],[Story Points]]),0)</f>
        <v>0</v>
      </c>
      <c r="GL164" s="42" t="str">
        <f aca="false">""</f>
        <v/>
      </c>
      <c r="GM164" s="88" t="b">
        <f aca="false">IF(Tasks[[#This Row],[Task Name]]="",FALSE(),AND(Tasks[[#This Row],[_IsLeaf]]=1,N(Tasks[[#This Row],[_Days]])=0))</f>
        <v>0</v>
      </c>
      <c r="GN164" s="89" t="n">
        <f aca="false">IF(Tasks[[#This Row],[Task Name]]="",0,IF(AND(Tasks[[#This Row],[_IsLeaf]]=1,NOT(Tasks[[#This Row],[_IsMilestone]]),N(Tasks[[#This Row],[Progress]])&gt;0),Tasks[[#This Row],[Start]],0))</f>
        <v>0</v>
      </c>
      <c r="GO164" s="89" t="n">
        <f aca="false">IF(Tasks[[#This Row],[_DoneFrom]]=0,0,IF(Tasks[[#This Row],[Progress]]&gt;=1,Tasks[[#This Row],[Finish]],MAX(Tasks[[#This Row],[_DoneFrom]],Tasks[[#This Row],[Start]]+ROUND((Tasks[[#This Row],[Finish]]-Tasks[[#This Row],[Start]]+1)*Tasks[[#This Row],[Progress]],0)-1)))</f>
        <v>0</v>
      </c>
      <c r="GP164" s="89" t="n">
        <f aca="false">IF(Tasks[[#This Row],[Task Name]]="",0,IF(OR(NOT(Tasks[[#This Row],[_IsLeaf]]=1),Tasks[[#This Row],[_IsMilestone]],N(Tasks[[#This Row],[Progress]])&gt;=1),0,IF(Tasks[[#This Row],[_DoneTo]]&gt;0,Tasks[[#This Row],[_DoneTo]]+1,Tasks[[#This Row],[Start]])))</f>
        <v>0</v>
      </c>
      <c r="GQ164" s="89" t="n">
        <f aca="false">IF(Tasks[[#This Row],[_RemFrom]]=0,0,Tasks[[#This Row],[Finish]])</f>
        <v>0</v>
      </c>
      <c r="GR164" s="88" t="b">
        <f aca="false">IF(Tasks[[#This Row],[Task Name]]="",FALSE(),OR(NOT(BaselineSet),N(Tasks[[#This Row],[Baseline Start]])&gt;0))</f>
        <v>0</v>
      </c>
      <c r="GS1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4" s="90" t="str">
        <f aca="false">IF(Tasks[[#This Row],[_IsLeaf]]=1,Tasks[[#This Row],[_Row]],"")</f>
        <v/>
      </c>
      <c r="GW164" s="90" t="str">
        <f aca="false">IFERROR(INDEX(Tasks[UID],SMALL(Tasks[_PickKey],Tasks[[#This Row],[_Row]]))&amp;" "&amp;INDEX(Tasks[Task Name],SMALL(Tasks[_PickKey],Tasks[[#This Row],[_Row]])),"")</f>
        <v/>
      </c>
      <c r="GX164" s="42" t="str">
        <f aca="false">IF(Tasks[[#This Row],[Task Name]]="","",IF(Tasks[[#This Row],[_IsSummary]],NETWORKDAYS.INTL(Tasks[[#This Row],[Start]],Tasks[[#This Row],[Finish]],WorkWeek,Holidays),N(Tasks[[#This Row],[_Days]])))</f>
        <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3"/>
      <c r="U165" s="23"/>
      <c r="V165" s="83"/>
      <c r="W165" s="23"/>
      <c r="X165" s="83"/>
      <c r="Y165" s="23"/>
      <c r="Z165" s="83"/>
      <c r="AA165" s="23"/>
      <c r="AB165" s="23"/>
      <c r="AC165" s="7"/>
      <c r="AD165" s="7"/>
      <c r="AE165" s="62" t="str">
        <f aca="false">IF(Tasks[[#This Row],[Task Name]]="","",IF(Tasks[[#This Row],[_IsSummary]],MIN(INDEX(Tasks[_ShownFcstStart],Tasks[[#This Row],[_Row]]+1):INDEX(Tasks[_ShownFcstStart],Tasks[[#This Row],[_Row]]+Tasks[[#This Row],[_Descendants]])),Tasks[[#This Row],[_ShownFcstStart]]))</f>
        <v/>
      </c>
      <c r="AF165" s="62"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5" s="7"/>
      <c r="AK165" s="22"/>
      <c r="AL165" s="23"/>
      <c r="AM165" s="7"/>
      <c r="AN165" s="46"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2" t="str">
        <f aca="false">IF(Tasks[[#This Row],[Task Name]]="","",IF(N(Tasks[[#This Row],[Baseline Start]])&gt;0,Tasks[[#This Row],[Baseline Start]],Tasks[[#This Row],[_CalcStart]]))</f>
        <v/>
      </c>
      <c r="AR165" s="62" t="str">
        <f aca="false">IF(Tasks[[#This Row],[Task Name]]="","",IF(N(Tasks[[#This Row],[Baseline Finish]])&gt;0,Tasks[[#This Row],[Baseline Finish]],Tasks[[#This Row],[_CalcFinish]]))</f>
        <v/>
      </c>
      <c r="AS165" s="46" t="str">
        <f aca="false">IF(Tasks[[#This Row],[Task Name]]="","",IF(Tasks[[#This Row],[Start]]&gt;=Tasks[[#This Row],[Planned Start]],NETWORKDAYS.INTL(Tasks[[#This Row],[Planned Start]],Tasks[[#This Row],[Start]],WorkWeek,Holidays)-1,1-NETWORKDAYS.INTL(Tasks[[#This Row],[Start]],Tasks[[#This Row],[Planned Start]],WorkWeek,Holidays)))</f>
        <v/>
      </c>
      <c r="AT165" s="62" t="str">
        <f aca="false">IF(Tasks[[#This Row],[Task Name]]="","",IF(Tasks[[#This Row],[_IsSummary]],MIN(INDEX(Tasks[_LeafLateStart],Tasks[[#This Row],[_Row]]+1):INDEX(Tasks[_LeafLateStart],Tasks[[#This Row],[_Row]]+Tasks[[#This Row],[_Descendants]])),Tasks[[#This Row],[_LeafLateStart]]))</f>
        <v/>
      </c>
      <c r="AU165" s="62" t="str">
        <f aca="false">IF(Tasks[[#This Row],[Task Name]]="","",IF(Tasks[[#This Row],[_IsSummary]],MAX(INDEX(Tasks[_LeafLateFinish],Tasks[[#This Row],[_Row]]+1):INDEX(Tasks[_LeafLateFinish],Tasks[[#This Row],[_Row]]+Tasks[[#This Row],[_Descendants]])),Tasks[[#This Row],[_LeafLateFinish]]))</f>
        <v/>
      </c>
      <c r="AV165" s="46"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4"/>
      <c r="BA1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5"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6"/>
      <c r="BJ165" s="22"/>
      <c r="BK165" s="46" t="str">
        <f aca="false">IF(OR(Tasks[[#This Row],[Task Name]]="",Tasks[[#This Row],[Baseline Duration]]=""),"",Tasks[[#This Row],[_SpanDays]]-N(Tasks[[#This Row],[Baseline Duration]]))</f>
        <v/>
      </c>
      <c r="BL165" s="85" t="str">
        <f aca="false">IF(OR(Tasks[[#This Row],[Task Name]]="",Tasks[[#This Row],[Baseline Work]]=""),"",Tasks[[#This Row],[Work]]-N(Tasks[[#This Row],[Baseline Work]]))</f>
        <v/>
      </c>
      <c r="BM165" s="62" t="str">
        <f aca="false">IF(Tasks[[#This Row],[Task Name]]="","",IF(OR(TakeBaseline="Yes",N(Tasks[[#This Row],[Baseline Start]])=0),Tasks[[#This Row],[Start]],Tasks[[#This Row],[Baseline Start]]))</f>
        <v/>
      </c>
      <c r="BN165" s="62"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5" t="str">
        <f aca="false">IF(Tasks[[#This Row],[Task Name]]="","",IF(OR(TakeBaseline="Yes",N(Tasks[[#This Row],[Baseline Work]])=0),Tasks[[#This Row],[Work]],Tasks[[#This Row],[Baseline Work]]))</f>
        <v/>
      </c>
      <c r="BQ165" s="7"/>
      <c r="BR165" s="7"/>
      <c r="BS165" s="22"/>
      <c r="BT165" s="87"/>
      <c r="BU165" s="42" t="str">
        <f aca="false">IF(Tasks[[#This Row],[Task Name]]="","",MAX(1,N(Tasks[[#This Row],[Level]])))</f>
        <v/>
      </c>
      <c r="BV165" s="42" t="n">
        <f aca="false">ROW()-ROW(Tasks[[#Headers],[ID]])</f>
        <v>160</v>
      </c>
      <c r="BW165" s="42" t="n">
        <f aca="false">IF(OR(Tasks[[#This Row],[Task Name]]="",Tasks[[#This Row],[_Level]]&lt;=1),0,IFERROR(LOOKUP(2,1/(Tasks[[#Headers],[_Level]]:Tasks[[#This Row],[_Level]]=Tasks[[#This Row],[_Level]]-1),ROW(Tasks[[#Headers],[_Level]]:Tasks[[#This Row],[_Level]])),0))</f>
        <v>0</v>
      </c>
      <c r="BX165" s="42" t="n">
        <f aca="false">IFERROR(N(INDEX(Tasks[_Level],Tasks[[#This Row],[_Row]]+1)),0)</f>
        <v>0</v>
      </c>
      <c r="BY165" s="88" t="b">
        <f aca="false">AND(Tasks[[#This Row],[Task Name]]&lt;&gt;"",Tasks[[#This Row],[_NextLevel]]&gt;Tasks[[#This Row],[_Level]])</f>
        <v>0</v>
      </c>
      <c r="BZ165" s="42" t="n">
        <f aca="false">IF(Tasks[[#This Row],[_IsSummary]],COUNTIF(Tasks[WBS],Tasks[[#This Row],[WBS]]&amp;".*"),0)</f>
        <v>0</v>
      </c>
      <c r="CA165" s="42" t="n">
        <f aca="false">IF(AND(Tasks[[#This Row],[Task Name]]&lt;&gt;"",NOT(Tasks[[#This Row],[_IsSummary]])),1,0)</f>
        <v>0</v>
      </c>
      <c r="CB165" s="42" t="n">
        <f aca="false">IF(N(Tasks[[#This Row],[_Pred1UID]])=0,0,IFERROR(MATCH(Tasks[[#This Row],[_Pred1UID]],Tasks[UID],0),-1))</f>
        <v>0</v>
      </c>
      <c r="CC165" s="42" t="n">
        <f aca="false">IF(N(Tasks[[#This Row],[_Pred2UID]])=0,0,IFERROR(MATCH(Tasks[[#This Row],[_Pred2UID]],Tasks[UID],0),-1))</f>
        <v>0</v>
      </c>
      <c r="CD165" s="42" t="n">
        <f aca="false">IF(N(Tasks[[#This Row],[_Pred3UID]])=0,0,IFERROR(MATCH(Tasks[[#This Row],[_Pred3UID]],Tasks[UID],0),-1))</f>
        <v>0</v>
      </c>
      <c r="CE165" s="42" t="n">
        <f aca="false">IF(N(Tasks[[#This Row],[_Pred4UID]])=0,0,IFERROR(MATCH(Tasks[[#This Row],[_Pred4UID]],Tasks[UID],0),-1))</f>
        <v>0</v>
      </c>
      <c r="CF1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5" s="89" t="n">
        <f aca="false">IF(OR(Tasks[[#This Row],[_ConstraintCode]]=2,Tasks[[#This Row],[_ConstraintCode]]=3,Tasks[[#This Row],[_ConstraintCode]]=4,Tasks[[#This Row],[_ConstraintCode]]=6),Tasks[[#This Row],[_ConstraintStart]],0)</f>
        <v>0</v>
      </c>
      <c r="CI165" s="89" t="n">
        <f aca="false">IF(OR(Tasks[[#This Row],[_ConstraintCode]]=2,Tasks[[#This Row],[_ConstraintCode]]=3,Tasks[[#This Row],[_ConstraintCode]]=5,Tasks[[#This Row],[_ConstraintCode]]=7),Tasks[[#This Row],[_ConstraintStart]],2958465)</f>
        <v>2958465</v>
      </c>
      <c r="CJ1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5" s="89" t="str">
        <f aca="false">IF(NOT(Tasks[[#This Row],[_IsLeaf]]=1),"",IF(N(Tasks[[#This Row],[_Days]])&lt;=0,Tasks[[#This Row],[_LeafCalcStart]],WORKDAY.INTL(Tasks[[#This Row],[_LeafCalcStart]],Tasks[[#This Row],[_Days]]-1,WorkWeek,Holidays)))</f>
        <v/>
      </c>
      <c r="CL1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5" s="42" t="str">
        <f aca="false">IF(Tasks[[#This Row],[_Predecessors]]="","",TRIM(MID(SUBSTITUTE(SUBSTITUTE(SUBSTITUTE(UPPER(Tasks[[#This Row],[_Predecessors]]),";",",")," ",""),",",REPT(" ",99)),1,99)))</f>
        <v/>
      </c>
      <c r="CO165" s="42" t="str">
        <f aca="false">IF(Tasks[[#This Row],[_Pred1Text]]="","",IFERROR(VALUE(LEFT(Tasks[[#This Row],[_Pred1Text]],MIN(FIND("F",Tasks[[#This Row],[_Pred1Text]]&amp;"F"),FIND("S",Tasks[[#This Row],[_Pred1Text]]&amp;"S"),FIND("+",Tasks[[#This Row],[_Pred1Text]]&amp;"+"),FIND("-",Tasks[[#This Row],[_Pred1Text]]&amp;"-"))-1)),""))</f>
        <v/>
      </c>
      <c r="CP1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5" s="42" t="str">
        <f aca="false">IF(Tasks[[#This Row],[_Pred1Text]]="","",TRIM(MID(SUBSTITUTE(SUBSTITUTE(SUBSTITUTE(UPPER(Tasks[[#This Row],[_Predecessors]]),";",",")," ",""),",",REPT(" ",99)),100,99)))</f>
        <v/>
      </c>
      <c r="CS165" s="42" t="str">
        <f aca="false">IF(Tasks[[#This Row],[_Pred2Text]]="","",IFERROR(VALUE(LEFT(Tasks[[#This Row],[_Pred2Text]],MIN(FIND("F",Tasks[[#This Row],[_Pred2Text]]&amp;"F"),FIND("S",Tasks[[#This Row],[_Pred2Text]]&amp;"S"),FIND("+",Tasks[[#This Row],[_Pred2Text]]&amp;"+"),FIND("-",Tasks[[#This Row],[_Pred2Text]]&amp;"-"))-1)),""))</f>
        <v/>
      </c>
      <c r="CT1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5" s="42" t="str">
        <f aca="false">IF(Tasks[[#This Row],[_Pred2Text]]="","",TRIM(MID(SUBSTITUTE(SUBSTITUTE(SUBSTITUTE(UPPER(Tasks[[#This Row],[_Predecessors]]),";",",")," ",""),",",REPT(" ",99)),199,99)))</f>
        <v/>
      </c>
      <c r="CW165" s="42" t="str">
        <f aca="false">IF(Tasks[[#This Row],[_Pred3Text]]="","",IFERROR(VALUE(LEFT(Tasks[[#This Row],[_Pred3Text]],MIN(FIND("F",Tasks[[#This Row],[_Pred3Text]]&amp;"F"),FIND("S",Tasks[[#This Row],[_Pred3Text]]&amp;"S"),FIND("+",Tasks[[#This Row],[_Pred3Text]]&amp;"+"),FIND("-",Tasks[[#This Row],[_Pred3Text]]&amp;"-"))-1)),""))</f>
        <v/>
      </c>
      <c r="CX1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5" s="42" t="str">
        <f aca="false">IF(Tasks[[#This Row],[_Pred3Text]]="","",TRIM(MID(SUBSTITUTE(SUBSTITUTE(SUBSTITUTE(UPPER(Tasks[[#This Row],[_Predecessors]]),";",",")," ",""),",",REPT(" ",99)),298,99)))</f>
        <v/>
      </c>
      <c r="DA165" s="42" t="str">
        <f aca="false">IF(Tasks[[#This Row],[_Pred4Text]]="","",IFERROR(VALUE(LEFT(Tasks[[#This Row],[_Pred4Text]],MIN(FIND("F",Tasks[[#This Row],[_Pred4Text]]&amp;"F"),FIND("S",Tasks[[#This Row],[_Pred4Text]]&amp;"S"),FIND("+",Tasks[[#This Row],[_Pred4Text]]&amp;"+"),FIND("-",Tasks[[#This Row],[_Pred4Text]]&amp;"-"))-1)),""))</f>
        <v/>
      </c>
      <c r="DB1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5" s="42" t="str">
        <f aca="false">IF(OR(Tasks[[#This Row],[Task Name]]="",Tasks[[#This Row],[_Resources]]=""),"",TRIM(MID(SUBSTITUTE(Tasks[[#This Row],[_Resources]],",",REPT(" ",99)),1,99)))</f>
        <v/>
      </c>
      <c r="DE165" s="42" t="str">
        <f aca="false">IF(Tasks[[#This Row],[_Res1Text]]="","",TRIM(MID(SUBSTITUTE(Tasks[[#This Row],[_Resources]],",",REPT(" ",99)),100,99)))</f>
        <v/>
      </c>
      <c r="DF165" s="42" t="str">
        <f aca="false">IF(Tasks[[#This Row],[_Res2Text]]="","",TRIM(MID(SUBSTITUTE(Tasks[[#This Row],[_Resources]],",",REPT(" ",99)),199,99)))</f>
        <v/>
      </c>
      <c r="DG165" s="42" t="str">
        <f aca="false">IF(Tasks[[#This Row],[_Res3Text]]="","",TRIM(MID(SUBSTITUTE(Tasks[[#This Row],[_Resources]],",",REPT(" ",99)),298,99)))</f>
        <v/>
      </c>
      <c r="DH165" s="42" t="n">
        <f aca="false">IF(Tasks[[#This Row],[_Res1Text]]="",0,IFERROR(MATCH(TRIM(LEFT(Tasks[[#This Row],[_Res1Text]],FIND("[",Tasks[[#This Row],[_Res1Text]]&amp;"[")-1)),res_Name,0),IFERROR(MATCH(TRIM(LEFT(Tasks[[#This Row],[_Res1Text]],FIND("[",Tasks[[#This Row],[_Res1Text]]&amp;"[")-1)),res_Initials,0),0)))</f>
        <v>0</v>
      </c>
      <c r="DI165" s="42" t="n">
        <f aca="false">IF(Tasks[[#This Row],[_Res2Text]]="",0,IFERROR(MATCH(TRIM(LEFT(Tasks[[#This Row],[_Res2Text]],FIND("[",Tasks[[#This Row],[_Res2Text]]&amp;"[")-1)),res_Name,0),IFERROR(MATCH(TRIM(LEFT(Tasks[[#This Row],[_Res2Text]],FIND("[",Tasks[[#This Row],[_Res2Text]]&amp;"[")-1)),res_Initials,0),0)))</f>
        <v>0</v>
      </c>
      <c r="DJ165" s="42" t="n">
        <f aca="false">IF(Tasks[[#This Row],[_Res3Text]]="",0,IFERROR(MATCH(TRIM(LEFT(Tasks[[#This Row],[_Res3Text]],FIND("[",Tasks[[#This Row],[_Res3Text]]&amp;"[")-1)),res_Name,0),IFERROR(MATCH(TRIM(LEFT(Tasks[[#This Row],[_Res3Text]],FIND("[",Tasks[[#This Row],[_Res3Text]]&amp;"[")-1)),res_Initials,0),0)))</f>
        <v>0</v>
      </c>
      <c r="DK165" s="42" t="n">
        <f aca="false">IF(Tasks[[#This Row],[_Res4Text]]="",0,IFERROR(MATCH(TRIM(LEFT(Tasks[[#This Row],[_Res4Text]],FIND("[",Tasks[[#This Row],[_Res4Text]]&amp;"[")-1)),res_Name,0),IFERROR(MATCH(TRIM(LEFT(Tasks[[#This Row],[_Res4Text]],FIND("[",Tasks[[#This Row],[_Res4Text]]&amp;"[")-1)),res_Initials,0),0)))</f>
        <v>0</v>
      </c>
      <c r="DL165" s="42" t="str">
        <f aca="false">IF(Tasks[[#This Row],[_Res1Text]]="","",IF(Tasks[[#This Row],[_Res1Row]]&gt;0,INDEX(res_Name,Tasks[[#This Row],[_Res1Row]]),TRIM(LEFT(Tasks[[#This Row],[_Res1Text]],FIND("[",Tasks[[#This Row],[_Res1Text]]&amp;"[")-1))))</f>
        <v/>
      </c>
      <c r="DM1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5" s="42" t="n">
        <f aca="false">IF(NOT(Tasks[[#This Row],[_IsLeaf]]=1),0,(Tasks[[#This Row],[_Resource1]]&lt;&gt;"")+(Tasks[[#This Row],[_Res2]]&lt;&gt;"")+(Tasks[[#This Row],[_Res3]]&lt;&gt;"")+(Tasks[[#This Row],[_Res4]]&lt;&gt;""))</f>
        <v>0</v>
      </c>
      <c r="DO165" s="42" t="str">
        <f aca="false">IF(Tasks[[#This Row],[_Res2Text]]="","",IF(Tasks[[#This Row],[_Res2Row]]&gt;0,INDEX(res_Name,Tasks[[#This Row],[_Res2Row]]),TRIM(LEFT(Tasks[[#This Row],[_Res2Text]],FIND("[",Tasks[[#This Row],[_Res2Text]]&amp;"[")-1))))</f>
        <v/>
      </c>
      <c r="DP1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5" s="42" t="n">
        <f aca="false">IF(OR(NOT(Tasks[[#This Row],[_IsLeaf]]=1),Tasks[[#This Row],[_Res2Row]]=0),0,N(Tasks[[#This Row],[_Days]])*HoursPerDay*IF(Tasks[[#This Row],[_Res2Units]]="",DefaultUnits,Tasks[[#This Row],[_Res2Units]]))</f>
        <v>0</v>
      </c>
      <c r="DR165" s="42" t="n">
        <f aca="false">IF(AND(AND(Tasks[[#This Row],[_IsLeaf]]=1,Tasks[[#This Row],[_LeafTotalWork]]&gt;0),Tasks[[#This Row],[_Res2Work]]&gt;0),Tasks[[#This Row],[_Res2Work]]/(Tasks[[#This Row],[_FinishWorkday]]-Tasks[[#This Row],[_StartWorkday]]+1),0)</f>
        <v>0</v>
      </c>
      <c r="DS165" s="42" t="n">
        <f aca="false">Tasks[[#This Row],[_Res2WorkPerWD]]*MAX(0,Tasks[[#This Row],[_StartWorkday]]-1)</f>
        <v>0</v>
      </c>
      <c r="DT165" s="42" t="n">
        <f aca="false">Tasks[[#This Row],[_Res2Work]]*Tasks[[#This Row],[_LeafProgress]]</f>
        <v>0</v>
      </c>
      <c r="DU165" s="42" t="str">
        <f aca="false">IF(Tasks[[#This Row],[_Res3Text]]="","",IF(Tasks[[#This Row],[_Res3Row]]&gt;0,INDEX(res_Name,Tasks[[#This Row],[_Res3Row]]),TRIM(LEFT(Tasks[[#This Row],[_Res3Text]],FIND("[",Tasks[[#This Row],[_Res3Text]]&amp;"[")-1))))</f>
        <v/>
      </c>
      <c r="DV1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5" s="42" t="n">
        <f aca="false">IF(OR(NOT(Tasks[[#This Row],[_IsLeaf]]=1),Tasks[[#This Row],[_Res3Row]]=0),0,N(Tasks[[#This Row],[_Days]])*HoursPerDay*IF(Tasks[[#This Row],[_Res3Units]]="",DefaultUnits,Tasks[[#This Row],[_Res3Units]]))</f>
        <v>0</v>
      </c>
      <c r="DX165" s="42" t="n">
        <f aca="false">IF(AND(AND(Tasks[[#This Row],[_IsLeaf]]=1,Tasks[[#This Row],[_LeafTotalWork]]&gt;0),Tasks[[#This Row],[_Res3Work]]&gt;0),Tasks[[#This Row],[_Res3Work]]/(Tasks[[#This Row],[_FinishWorkday]]-Tasks[[#This Row],[_StartWorkday]]+1),0)</f>
        <v>0</v>
      </c>
      <c r="DY165" s="42" t="n">
        <f aca="false">Tasks[[#This Row],[_Res3WorkPerWD]]*MAX(0,Tasks[[#This Row],[_StartWorkday]]-1)</f>
        <v>0</v>
      </c>
      <c r="DZ165" s="42" t="n">
        <f aca="false">Tasks[[#This Row],[_Res3Work]]*Tasks[[#This Row],[_LeafProgress]]</f>
        <v>0</v>
      </c>
      <c r="EA165" s="42" t="str">
        <f aca="false">IF(Tasks[[#This Row],[_Res4Text]]="","",IF(Tasks[[#This Row],[_Res4Row]]&gt;0,INDEX(res_Name,Tasks[[#This Row],[_Res4Row]]),TRIM(LEFT(Tasks[[#This Row],[_Res4Text]],FIND("[",Tasks[[#This Row],[_Res4Text]]&amp;"[")-1))))</f>
        <v/>
      </c>
      <c r="EB1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5" s="42" t="n">
        <f aca="false">IF(OR(NOT(Tasks[[#This Row],[_IsLeaf]]=1),Tasks[[#This Row],[_Res4Row]]=0),0,N(Tasks[[#This Row],[_Days]])*HoursPerDay*IF(Tasks[[#This Row],[_Res4Units]]="",DefaultUnits,Tasks[[#This Row],[_Res4Units]]))</f>
        <v>0</v>
      </c>
      <c r="ED165" s="42" t="n">
        <f aca="false">IF(AND(AND(Tasks[[#This Row],[_IsLeaf]]=1,Tasks[[#This Row],[_LeafTotalWork]]&gt;0),Tasks[[#This Row],[_Res4Work]]&gt;0),Tasks[[#This Row],[_Res4Work]]/(Tasks[[#This Row],[_FinishWorkday]]-Tasks[[#This Row],[_StartWorkday]]+1),0)</f>
        <v>0</v>
      </c>
      <c r="EE165" s="42" t="n">
        <f aca="false">Tasks[[#This Row],[_Res4WorkPerWD]]*MAX(0,Tasks[[#This Row],[_StartWorkday]]-1)</f>
        <v>0</v>
      </c>
      <c r="EF165" s="42" t="n">
        <f aca="false">Tasks[[#This Row],[_Res4Work]]*Tasks[[#This Row],[_LeafProgress]]</f>
        <v>0</v>
      </c>
      <c r="EG165" s="42" t="n">
        <f aca="false">IF(ISNUMBER(Tasks[[#This Row],[% Complete]]),Tasks[[#This Row],[% Complete]],IF(Tasks[[#This Row],[Stage]]="",0,IFERROR(INDEX(stg_Pct,MATCH(Tasks[[#This Row],[Stage]],stg_Name,0)),0)))</f>
        <v>0</v>
      </c>
      <c r="EH165" s="42" t="n">
        <f aca="false">IF(NOT(Tasks[[#This Row],[_IsLeaf]]=1),0,IF(N(Tasks[[#This Row],[Actual Finish]])&gt;0,1,MIN(1,Tasks[[#This Row],[_Pct]])))</f>
        <v>0</v>
      </c>
      <c r="EI165" s="42" t="n">
        <f aca="false">IF(OR(NOT(Tasks[[#This Row],[_IsLeaf]]=1),Tasks[[#This Row],[_Res1Row]]=0),0,N(Tasks[[#This Row],[_Days]])*HoursPerDay*IF(Tasks[[#This Row],[_Units1]]="",DefaultUnits,Tasks[[#This Row],[_Units1]]))</f>
        <v>0</v>
      </c>
      <c r="EJ165" s="42" t="n">
        <f aca="false">Tasks[[#This Row],[_LeafWork]]+Tasks[[#This Row],[_Res2Work]]+Tasks[[#This Row],[_Res3Work]]+Tasks[[#This Row],[_Res4Work]]</f>
        <v>0</v>
      </c>
      <c r="EK1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5" s="42" t="n">
        <f aca="false">IF(NOT(Tasks[[#This Row],[_IsLeaf]]=1),0,MAX(_xlfn.MAXIFS(Tasks[_Row],Tasks[_Pred1UID],Tasks[[#This Row],[UID]]),_xlfn.MAXIFS(Tasks[_Row],Tasks[_Pred2UID],Tasks[[#This Row],[UID]]),_xlfn.MAXIFS(Tasks[_Row],Tasks[_Pred3UID],Tasks[[#This Row],[UID]]),_xlfn.MAXIFS(Tasks[_Row],Tasks[_Pred4UID],Tasks[[#This Row],[UID]])))</f>
        <v>0</v>
      </c>
      <c r="ET1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5" s="89" t="str">
        <f aca="false">IF(NOT(Tasks[[#This Row],[_IsLeaf]]=1),"",IF(N(Tasks[[#This Row],[_Days]])&lt;=0,Tasks[[#This Row],[_LeafLateFinish]],WORKDAY.INTL(Tasks[[#This Row],[_LeafLateFinish]],-(Tasks[[#This Row],[_Days]]-1),WorkWeek,Holidays)))</f>
        <v/>
      </c>
      <c r="EW1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5" s="88" t="b">
        <f aca="false">AND(Tasks[[#This Row],[_IsLeaf]]=1,Tasks[[#This Row],[_LeafProgress]]&lt;1,N(Tasks[[#This Row],[_LeafTotalSlack]])&lt;=CriticalSlackDays)</f>
        <v>0</v>
      </c>
      <c r="EY165" s="42" t="n">
        <f aca="false">IF(AND(Tasks[[#This Row],[_IsLeaf]]=1,Tasks[[#This Row],[_ConstraintCode]]=1,Tasks[[#This Row],[Mode]]&lt;&gt;"Manual",N(Tasks[[#This Row],[Actual Start]])=0),MAX(0,N(Tasks[[#This Row],[Free Slack]])),0)</f>
        <v>0</v>
      </c>
      <c r="EZ165" s="89" t="str">
        <f aca="false">IF(NOT(Tasks[[#This Row],[_IsLeaf]]=1),"",IF(Tasks[[#This Row],[_AlapShift]]=0,Tasks[[#This Row],[_LeafCalcStart]],WORKDAY.INTL(Tasks[[#This Row],[_LeafCalcStart]],Tasks[[#This Row],[_AlapShift]],WorkWeek,Holidays)))</f>
        <v/>
      </c>
      <c r="FA165" s="89" t="str">
        <f aca="false">IF(NOT(Tasks[[#This Row],[_IsLeaf]]=1),"",IF(Tasks[[#This Row],[_AlapShift]]=0,Tasks[[#This Row],[_LeafCalcFinish]],WORKDAY.INTL(Tasks[[#This Row],[_LeafCalcFinish]],Tasks[[#This Row],[_AlapShift]],WorkWeek,Holidays)))</f>
        <v/>
      </c>
      <c r="FB165" s="89" t="str">
        <f aca="false">IF(NOT(Tasks[[#This Row],[_IsLeaf]]=1),"",IF(Tasks[[#This Row],[_AlapShift]]=0,Tasks[[#This Row],[_LeafFcstStart]],WORKDAY.INTL(Tasks[[#This Row],[_LeafFcstStart]],Tasks[[#This Row],[_AlapShift]],WorkWeek,Holidays)))</f>
        <v/>
      </c>
      <c r="FC165" s="89" t="str">
        <f aca="false">IF(NOT(Tasks[[#This Row],[_IsLeaf]]=1),"",IF(Tasks[[#This Row],[_AlapShift]]=0,Tasks[[#This Row],[_LeafFcstFinish]],WORKDAY.INTL(Tasks[[#This Row],[_LeafFcstFinish]],Tasks[[#This Row],[_AlapShift]],WorkWeek,Holidays)))</f>
        <v/>
      </c>
      <c r="FD165" s="89" t="str">
        <f aca="false">IF(Tasks[[#This Row],[Task Name]]="","",IF(Tasks[[#This Row],[_IsSummary]],MIN(INDEX(Tasks[_ShownCalcStart],Tasks[[#This Row],[_Row]]+1):INDEX(Tasks[_ShownCalcStart],Tasks[[#This Row],[_Row]]+Tasks[[#This Row],[_Descendants]])),Tasks[[#This Row],[_ShownCalcStart]]))</f>
        <v/>
      </c>
      <c r="FE165" s="89" t="str">
        <f aca="false">IF(Tasks[[#This Row],[Task Name]]="","",IF(Tasks[[#This Row],[_IsSummary]],MAX(INDEX(Tasks[_ShownCalcFinish],Tasks[[#This Row],[_Row]]+1):INDEX(Tasks[_ShownCalcFinish],Tasks[[#This Row],[_Row]]+Tasks[[#This Row],[_Descendants]])),Tasks[[#This Row],[_ShownCalcFinish]]))</f>
        <v/>
      </c>
      <c r="FF1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5" s="42" t="n">
        <f aca="false">IF(AND(Tasks[[#This Row],[_IsLeaf]]=1,Tasks[[#This Row],[_LeafTotalWork]]&gt;0),NETWORKDAYS.INTL(ProjectStart,Tasks[[#This Row],[_ShownFcstStart]],WorkWeek,Holidays),0)</f>
        <v>0</v>
      </c>
      <c r="FS165" s="42" t="n">
        <f aca="false">IF(AND(Tasks[[#This Row],[_IsLeaf]]=1,Tasks[[#This Row],[_LeafTotalWork]]&gt;0),MAX(Tasks[[#This Row],[_StartWorkday]],NETWORKDAYS.INTL(ProjectStart,Tasks[[#This Row],[_ShownFcstFinish]],WorkWeek,Holidays)),0)</f>
        <v>0</v>
      </c>
      <c r="FT165" s="42" t="n">
        <f aca="false">IF(AND(Tasks[[#This Row],[_IsLeaf]]=1,Tasks[[#This Row],[_LeafTotalWork]]&gt;0),Tasks[[#This Row],[_LeafWork]]/(Tasks[[#This Row],[_FinishWorkday]]-Tasks[[#This Row],[_StartWorkday]]+1),0)</f>
        <v>0</v>
      </c>
      <c r="FU165" s="42" t="n">
        <f aca="false">Tasks[[#This Row],[_WorkPerWorkday]]*(Tasks[[#This Row],[_StartWorkday]]-1)</f>
        <v>-0</v>
      </c>
      <c r="FV165" s="42" t="n">
        <f aca="false">IF(Tasks[[#This Row],[_IsLeaf]]=1,MAX(N(Tasks[[#This Row],[_Days]]),0.1),0)</f>
        <v>0</v>
      </c>
      <c r="FW165" s="42" t="n">
        <f aca="false">Tasks[[#This Row],[_WeightDur]]*Tasks[[#This Row],[_LeafProgress]]</f>
        <v>0</v>
      </c>
      <c r="FX165" s="42" t="n">
        <f aca="false">Tasks[[#This Row],[_WeightDur]]*Tasks[[#This Row],[_PlannedPct]]</f>
        <v>0</v>
      </c>
      <c r="FY1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5" s="42" t="str">
        <f aca="false">IF(AND(Tasks[[#This Row],[_IsLeaf]]=1,N(Tasks[[#This Row],[_Days]])=0,Tasks[[#This Row],[_LeafProgress]]&lt;1),Tasks[[#This Row],[_ShownFcstFinish]]+Tasks[[#This Row],[_Row]]/100000,"")</f>
        <v/>
      </c>
      <c r="GA1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5" s="42" t="str">
        <f aca="false">IF(Tasks[[#This Row],[Task Name]]="","",LEFT(Tasks[[#This Row],[WBS]],FIND(".",Tasks[[#This Row],[WBS]]&amp;".")-1))</f>
        <v/>
      </c>
      <c r="GC165" s="42" t="str">
        <f aca="false">IF(AND(Tasks[[#This Row],[Task Name]]&lt;&gt;"",Tasks[[#This Row],[_Level]]=1),Tasks[[#This Row],[_Row]],"")</f>
        <v/>
      </c>
      <c r="GD165" s="42" t="str">
        <f aca="false">IF(AND(Tasks[[#This Row],[_IsLeaf]]=1,N(Tasks[[#This Row],[_Days]])=0),Tasks[[#This Row],[Planned Finish]]+Tasks[[#This Row],[_Row]]/100000,"")</f>
        <v/>
      </c>
      <c r="GE165" s="42" t="str">
        <f aca="false">IF(AND(Tasks[[#This Row],[_IsLeaf]]=1,Tasks[[#This Row],[_LeafProgress]]&lt;1,OR(N(Tasks[[#This Row],[Finish Var]])&gt;0,Tasks[[#This Row],[Status]]="Late Start")),MAX(0,Tasks[[#This Row],[Finish Var]])+1-Tasks[[#This Row],[_Row]]/1000000,"")</f>
        <v/>
      </c>
      <c r="GF165" s="42" t="str">
        <f aca="false">IF(AND(Tasks[[#This Row],[_IsLeaf]]=1,N(Tasks[[#This Row],[Actual Start]])=0,Tasks[[#This Row],[_ShownFcstStart]]&gt;=StatusDate,Tasks[[#This Row],[_ShownFcstStart]]&lt;=LookaheadEnd),Tasks[[#This Row],[_ShownFcstStart]]+Tasks[[#This Row],[_Row]]/100000,"")</f>
        <v/>
      </c>
      <c r="GG165" s="42" t="str">
        <f aca="false">IF(AND(Tasks[[#This Row],[_IsLeaf]]=1,Tasks[[#This Row],[_LeafProgress]]&lt;1,Tasks[[#This Row],[_ShownFcstFinish]]&gt;=StatusDate,Tasks[[#This Row],[_ShownFcstFinish]]&lt;=LookaheadEnd),Tasks[[#This Row],[_ShownFcstFinish]]+Tasks[[#This Row],[_Row]]/100000,"")</f>
        <v/>
      </c>
      <c r="GH165" s="42" t="str">
        <f aca="false">IF(Tasks[[#This Row],[_LeafCritical]],Tasks[[#This Row],[_ShownFcstStart]]+Tasks[[#This Row],[_Row]]/100000,"")</f>
        <v/>
      </c>
      <c r="GI165" s="42" t="n">
        <f aca="false">Tasks[[#This Row],[_LeafWork]]*Tasks[[#This Row],[_LeafProgress]]</f>
        <v>0</v>
      </c>
      <c r="GJ165" s="89" t="str">
        <f aca="false">IF(AND(Tasks[[#This Row],[_IsLeaf]]=1,Tasks[[#This Row],[_LeafProgress]]&gt;=1),IF(N(Tasks[[#This Row],[Actual Finish]])&gt;0,Tasks[[#This Row],[Actual Finish]],Tasks[[#This Row],[_ShownFcstFinish]]),"")</f>
        <v/>
      </c>
      <c r="GK165" s="42" t="n">
        <f aca="false">IF(Tasks[[#This Row],[_IsLeaf]]=1,N(Tasks[[#This Row],[Story Points]]),0)</f>
        <v>0</v>
      </c>
      <c r="GL165" s="42" t="str">
        <f aca="false">""</f>
        <v/>
      </c>
      <c r="GM165" s="88" t="b">
        <f aca="false">IF(Tasks[[#This Row],[Task Name]]="",FALSE(),AND(Tasks[[#This Row],[_IsLeaf]]=1,N(Tasks[[#This Row],[_Days]])=0))</f>
        <v>0</v>
      </c>
      <c r="GN165" s="89" t="n">
        <f aca="false">IF(Tasks[[#This Row],[Task Name]]="",0,IF(AND(Tasks[[#This Row],[_IsLeaf]]=1,NOT(Tasks[[#This Row],[_IsMilestone]]),N(Tasks[[#This Row],[Progress]])&gt;0),Tasks[[#This Row],[Start]],0))</f>
        <v>0</v>
      </c>
      <c r="GO165" s="89" t="n">
        <f aca="false">IF(Tasks[[#This Row],[_DoneFrom]]=0,0,IF(Tasks[[#This Row],[Progress]]&gt;=1,Tasks[[#This Row],[Finish]],MAX(Tasks[[#This Row],[_DoneFrom]],Tasks[[#This Row],[Start]]+ROUND((Tasks[[#This Row],[Finish]]-Tasks[[#This Row],[Start]]+1)*Tasks[[#This Row],[Progress]],0)-1)))</f>
        <v>0</v>
      </c>
      <c r="GP165" s="89" t="n">
        <f aca="false">IF(Tasks[[#This Row],[Task Name]]="",0,IF(OR(NOT(Tasks[[#This Row],[_IsLeaf]]=1),Tasks[[#This Row],[_IsMilestone]],N(Tasks[[#This Row],[Progress]])&gt;=1),0,IF(Tasks[[#This Row],[_DoneTo]]&gt;0,Tasks[[#This Row],[_DoneTo]]+1,Tasks[[#This Row],[Start]])))</f>
        <v>0</v>
      </c>
      <c r="GQ165" s="89" t="n">
        <f aca="false">IF(Tasks[[#This Row],[_RemFrom]]=0,0,Tasks[[#This Row],[Finish]])</f>
        <v>0</v>
      </c>
      <c r="GR165" s="88" t="b">
        <f aca="false">IF(Tasks[[#This Row],[Task Name]]="",FALSE(),OR(NOT(BaselineSet),N(Tasks[[#This Row],[Baseline Start]])&gt;0))</f>
        <v>0</v>
      </c>
      <c r="GS1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5" s="90" t="str">
        <f aca="false">IF(Tasks[[#This Row],[_IsLeaf]]=1,Tasks[[#This Row],[_Row]],"")</f>
        <v/>
      </c>
      <c r="GW165" s="90" t="str">
        <f aca="false">IFERROR(INDEX(Tasks[UID],SMALL(Tasks[_PickKey],Tasks[[#This Row],[_Row]]))&amp;" "&amp;INDEX(Tasks[Task Name],SMALL(Tasks[_PickKey],Tasks[[#This Row],[_Row]])),"")</f>
        <v/>
      </c>
      <c r="GX165" s="42" t="str">
        <f aca="false">IF(Tasks[[#This Row],[Task Name]]="","",IF(Tasks[[#This Row],[_IsSummary]],NETWORKDAYS.INTL(Tasks[[#This Row],[Start]],Tasks[[#This Row],[Finish]],WorkWeek,Holidays),N(Tasks[[#This Row],[_Days]])))</f>
        <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3"/>
      <c r="U166" s="23"/>
      <c r="V166" s="83"/>
      <c r="W166" s="23"/>
      <c r="X166" s="83"/>
      <c r="Y166" s="23"/>
      <c r="Z166" s="83"/>
      <c r="AA166" s="23"/>
      <c r="AB166" s="23"/>
      <c r="AC166" s="7"/>
      <c r="AD166" s="7"/>
      <c r="AE166" s="62" t="str">
        <f aca="false">IF(Tasks[[#This Row],[Task Name]]="","",IF(Tasks[[#This Row],[_IsSummary]],MIN(INDEX(Tasks[_ShownFcstStart],Tasks[[#This Row],[_Row]]+1):INDEX(Tasks[_ShownFcstStart],Tasks[[#This Row],[_Row]]+Tasks[[#This Row],[_Descendants]])),Tasks[[#This Row],[_ShownFcstStart]]))</f>
        <v/>
      </c>
      <c r="AF166" s="62"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6" s="7"/>
      <c r="AK166" s="22"/>
      <c r="AL166" s="23"/>
      <c r="AM166" s="7"/>
      <c r="AN166" s="46"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2" t="str">
        <f aca="false">IF(Tasks[[#This Row],[Task Name]]="","",IF(N(Tasks[[#This Row],[Baseline Start]])&gt;0,Tasks[[#This Row],[Baseline Start]],Tasks[[#This Row],[_CalcStart]]))</f>
        <v/>
      </c>
      <c r="AR166" s="62" t="str">
        <f aca="false">IF(Tasks[[#This Row],[Task Name]]="","",IF(N(Tasks[[#This Row],[Baseline Finish]])&gt;0,Tasks[[#This Row],[Baseline Finish]],Tasks[[#This Row],[_CalcFinish]]))</f>
        <v/>
      </c>
      <c r="AS166" s="46" t="str">
        <f aca="false">IF(Tasks[[#This Row],[Task Name]]="","",IF(Tasks[[#This Row],[Start]]&gt;=Tasks[[#This Row],[Planned Start]],NETWORKDAYS.INTL(Tasks[[#This Row],[Planned Start]],Tasks[[#This Row],[Start]],WorkWeek,Holidays)-1,1-NETWORKDAYS.INTL(Tasks[[#This Row],[Start]],Tasks[[#This Row],[Planned Start]],WorkWeek,Holidays)))</f>
        <v/>
      </c>
      <c r="AT166" s="62" t="str">
        <f aca="false">IF(Tasks[[#This Row],[Task Name]]="","",IF(Tasks[[#This Row],[_IsSummary]],MIN(INDEX(Tasks[_LeafLateStart],Tasks[[#This Row],[_Row]]+1):INDEX(Tasks[_LeafLateStart],Tasks[[#This Row],[_Row]]+Tasks[[#This Row],[_Descendants]])),Tasks[[#This Row],[_LeafLateStart]]))</f>
        <v/>
      </c>
      <c r="AU166" s="62" t="str">
        <f aca="false">IF(Tasks[[#This Row],[Task Name]]="","",IF(Tasks[[#This Row],[_IsSummary]],MAX(INDEX(Tasks[_LeafLateFinish],Tasks[[#This Row],[_Row]]+1):INDEX(Tasks[_LeafLateFinish],Tasks[[#This Row],[_Row]]+Tasks[[#This Row],[_Descendants]])),Tasks[[#This Row],[_LeafLateFinish]]))</f>
        <v/>
      </c>
      <c r="AV166" s="46"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4"/>
      <c r="BA1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5"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6"/>
      <c r="BJ166" s="22"/>
      <c r="BK166" s="46" t="str">
        <f aca="false">IF(OR(Tasks[[#This Row],[Task Name]]="",Tasks[[#This Row],[Baseline Duration]]=""),"",Tasks[[#This Row],[_SpanDays]]-N(Tasks[[#This Row],[Baseline Duration]]))</f>
        <v/>
      </c>
      <c r="BL166" s="85" t="str">
        <f aca="false">IF(OR(Tasks[[#This Row],[Task Name]]="",Tasks[[#This Row],[Baseline Work]]=""),"",Tasks[[#This Row],[Work]]-N(Tasks[[#This Row],[Baseline Work]]))</f>
        <v/>
      </c>
      <c r="BM166" s="62" t="str">
        <f aca="false">IF(Tasks[[#This Row],[Task Name]]="","",IF(OR(TakeBaseline="Yes",N(Tasks[[#This Row],[Baseline Start]])=0),Tasks[[#This Row],[Start]],Tasks[[#This Row],[Baseline Start]]))</f>
        <v/>
      </c>
      <c r="BN166" s="62"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5" t="str">
        <f aca="false">IF(Tasks[[#This Row],[Task Name]]="","",IF(OR(TakeBaseline="Yes",N(Tasks[[#This Row],[Baseline Work]])=0),Tasks[[#This Row],[Work]],Tasks[[#This Row],[Baseline Work]]))</f>
        <v/>
      </c>
      <c r="BQ166" s="7"/>
      <c r="BR166" s="7"/>
      <c r="BS166" s="22"/>
      <c r="BT166" s="87"/>
      <c r="BU166" s="42" t="str">
        <f aca="false">IF(Tasks[[#This Row],[Task Name]]="","",MAX(1,N(Tasks[[#This Row],[Level]])))</f>
        <v/>
      </c>
      <c r="BV166" s="42" t="n">
        <f aca="false">ROW()-ROW(Tasks[[#Headers],[ID]])</f>
        <v>161</v>
      </c>
      <c r="BW166" s="42" t="n">
        <f aca="false">IF(OR(Tasks[[#This Row],[Task Name]]="",Tasks[[#This Row],[_Level]]&lt;=1),0,IFERROR(LOOKUP(2,1/(Tasks[[#Headers],[_Level]]:Tasks[[#This Row],[_Level]]=Tasks[[#This Row],[_Level]]-1),ROW(Tasks[[#Headers],[_Level]]:Tasks[[#This Row],[_Level]])),0))</f>
        <v>0</v>
      </c>
      <c r="BX166" s="42" t="n">
        <f aca="false">IFERROR(N(INDEX(Tasks[_Level],Tasks[[#This Row],[_Row]]+1)),0)</f>
        <v>0</v>
      </c>
      <c r="BY166" s="88" t="b">
        <f aca="false">AND(Tasks[[#This Row],[Task Name]]&lt;&gt;"",Tasks[[#This Row],[_NextLevel]]&gt;Tasks[[#This Row],[_Level]])</f>
        <v>0</v>
      </c>
      <c r="BZ166" s="42" t="n">
        <f aca="false">IF(Tasks[[#This Row],[_IsSummary]],COUNTIF(Tasks[WBS],Tasks[[#This Row],[WBS]]&amp;".*"),0)</f>
        <v>0</v>
      </c>
      <c r="CA166" s="42" t="n">
        <f aca="false">IF(AND(Tasks[[#This Row],[Task Name]]&lt;&gt;"",NOT(Tasks[[#This Row],[_IsSummary]])),1,0)</f>
        <v>0</v>
      </c>
      <c r="CB166" s="42" t="n">
        <f aca="false">IF(N(Tasks[[#This Row],[_Pred1UID]])=0,0,IFERROR(MATCH(Tasks[[#This Row],[_Pred1UID]],Tasks[UID],0),-1))</f>
        <v>0</v>
      </c>
      <c r="CC166" s="42" t="n">
        <f aca="false">IF(N(Tasks[[#This Row],[_Pred2UID]])=0,0,IFERROR(MATCH(Tasks[[#This Row],[_Pred2UID]],Tasks[UID],0),-1))</f>
        <v>0</v>
      </c>
      <c r="CD166" s="42" t="n">
        <f aca="false">IF(N(Tasks[[#This Row],[_Pred3UID]])=0,0,IFERROR(MATCH(Tasks[[#This Row],[_Pred3UID]],Tasks[UID],0),-1))</f>
        <v>0</v>
      </c>
      <c r="CE166" s="42" t="n">
        <f aca="false">IF(N(Tasks[[#This Row],[_Pred4UID]])=0,0,IFERROR(MATCH(Tasks[[#This Row],[_Pred4UID]],Tasks[UID],0),-1))</f>
        <v>0</v>
      </c>
      <c r="CF1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6" s="89" t="n">
        <f aca="false">IF(OR(Tasks[[#This Row],[_ConstraintCode]]=2,Tasks[[#This Row],[_ConstraintCode]]=3,Tasks[[#This Row],[_ConstraintCode]]=4,Tasks[[#This Row],[_ConstraintCode]]=6),Tasks[[#This Row],[_ConstraintStart]],0)</f>
        <v>0</v>
      </c>
      <c r="CI166" s="89" t="n">
        <f aca="false">IF(OR(Tasks[[#This Row],[_ConstraintCode]]=2,Tasks[[#This Row],[_ConstraintCode]]=3,Tasks[[#This Row],[_ConstraintCode]]=5,Tasks[[#This Row],[_ConstraintCode]]=7),Tasks[[#This Row],[_ConstraintStart]],2958465)</f>
        <v>2958465</v>
      </c>
      <c r="CJ1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6" s="89" t="str">
        <f aca="false">IF(NOT(Tasks[[#This Row],[_IsLeaf]]=1),"",IF(N(Tasks[[#This Row],[_Days]])&lt;=0,Tasks[[#This Row],[_LeafCalcStart]],WORKDAY.INTL(Tasks[[#This Row],[_LeafCalcStart]],Tasks[[#This Row],[_Days]]-1,WorkWeek,Holidays)))</f>
        <v/>
      </c>
      <c r="CL1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6" s="42" t="str">
        <f aca="false">IF(Tasks[[#This Row],[_Predecessors]]="","",TRIM(MID(SUBSTITUTE(SUBSTITUTE(SUBSTITUTE(UPPER(Tasks[[#This Row],[_Predecessors]]),";",",")," ",""),",",REPT(" ",99)),1,99)))</f>
        <v/>
      </c>
      <c r="CO166" s="42" t="str">
        <f aca="false">IF(Tasks[[#This Row],[_Pred1Text]]="","",IFERROR(VALUE(LEFT(Tasks[[#This Row],[_Pred1Text]],MIN(FIND("F",Tasks[[#This Row],[_Pred1Text]]&amp;"F"),FIND("S",Tasks[[#This Row],[_Pred1Text]]&amp;"S"),FIND("+",Tasks[[#This Row],[_Pred1Text]]&amp;"+"),FIND("-",Tasks[[#This Row],[_Pred1Text]]&amp;"-"))-1)),""))</f>
        <v/>
      </c>
      <c r="CP1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6" s="42" t="str">
        <f aca="false">IF(Tasks[[#This Row],[_Pred1Text]]="","",TRIM(MID(SUBSTITUTE(SUBSTITUTE(SUBSTITUTE(UPPER(Tasks[[#This Row],[_Predecessors]]),";",",")," ",""),",",REPT(" ",99)),100,99)))</f>
        <v/>
      </c>
      <c r="CS166" s="42" t="str">
        <f aca="false">IF(Tasks[[#This Row],[_Pred2Text]]="","",IFERROR(VALUE(LEFT(Tasks[[#This Row],[_Pred2Text]],MIN(FIND("F",Tasks[[#This Row],[_Pred2Text]]&amp;"F"),FIND("S",Tasks[[#This Row],[_Pred2Text]]&amp;"S"),FIND("+",Tasks[[#This Row],[_Pred2Text]]&amp;"+"),FIND("-",Tasks[[#This Row],[_Pred2Text]]&amp;"-"))-1)),""))</f>
        <v/>
      </c>
      <c r="CT1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6" s="42" t="str">
        <f aca="false">IF(Tasks[[#This Row],[_Pred2Text]]="","",TRIM(MID(SUBSTITUTE(SUBSTITUTE(SUBSTITUTE(UPPER(Tasks[[#This Row],[_Predecessors]]),";",",")," ",""),",",REPT(" ",99)),199,99)))</f>
        <v/>
      </c>
      <c r="CW166" s="42" t="str">
        <f aca="false">IF(Tasks[[#This Row],[_Pred3Text]]="","",IFERROR(VALUE(LEFT(Tasks[[#This Row],[_Pred3Text]],MIN(FIND("F",Tasks[[#This Row],[_Pred3Text]]&amp;"F"),FIND("S",Tasks[[#This Row],[_Pred3Text]]&amp;"S"),FIND("+",Tasks[[#This Row],[_Pred3Text]]&amp;"+"),FIND("-",Tasks[[#This Row],[_Pred3Text]]&amp;"-"))-1)),""))</f>
        <v/>
      </c>
      <c r="CX1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6" s="42" t="str">
        <f aca="false">IF(Tasks[[#This Row],[_Pred3Text]]="","",TRIM(MID(SUBSTITUTE(SUBSTITUTE(SUBSTITUTE(UPPER(Tasks[[#This Row],[_Predecessors]]),";",",")," ",""),",",REPT(" ",99)),298,99)))</f>
        <v/>
      </c>
      <c r="DA166" s="42" t="str">
        <f aca="false">IF(Tasks[[#This Row],[_Pred4Text]]="","",IFERROR(VALUE(LEFT(Tasks[[#This Row],[_Pred4Text]],MIN(FIND("F",Tasks[[#This Row],[_Pred4Text]]&amp;"F"),FIND("S",Tasks[[#This Row],[_Pred4Text]]&amp;"S"),FIND("+",Tasks[[#This Row],[_Pred4Text]]&amp;"+"),FIND("-",Tasks[[#This Row],[_Pred4Text]]&amp;"-"))-1)),""))</f>
        <v/>
      </c>
      <c r="DB1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6" s="42" t="str">
        <f aca="false">IF(OR(Tasks[[#This Row],[Task Name]]="",Tasks[[#This Row],[_Resources]]=""),"",TRIM(MID(SUBSTITUTE(Tasks[[#This Row],[_Resources]],",",REPT(" ",99)),1,99)))</f>
        <v/>
      </c>
      <c r="DE166" s="42" t="str">
        <f aca="false">IF(Tasks[[#This Row],[_Res1Text]]="","",TRIM(MID(SUBSTITUTE(Tasks[[#This Row],[_Resources]],",",REPT(" ",99)),100,99)))</f>
        <v/>
      </c>
      <c r="DF166" s="42" t="str">
        <f aca="false">IF(Tasks[[#This Row],[_Res2Text]]="","",TRIM(MID(SUBSTITUTE(Tasks[[#This Row],[_Resources]],",",REPT(" ",99)),199,99)))</f>
        <v/>
      </c>
      <c r="DG166" s="42" t="str">
        <f aca="false">IF(Tasks[[#This Row],[_Res3Text]]="","",TRIM(MID(SUBSTITUTE(Tasks[[#This Row],[_Resources]],",",REPT(" ",99)),298,99)))</f>
        <v/>
      </c>
      <c r="DH166" s="42" t="n">
        <f aca="false">IF(Tasks[[#This Row],[_Res1Text]]="",0,IFERROR(MATCH(TRIM(LEFT(Tasks[[#This Row],[_Res1Text]],FIND("[",Tasks[[#This Row],[_Res1Text]]&amp;"[")-1)),res_Name,0),IFERROR(MATCH(TRIM(LEFT(Tasks[[#This Row],[_Res1Text]],FIND("[",Tasks[[#This Row],[_Res1Text]]&amp;"[")-1)),res_Initials,0),0)))</f>
        <v>0</v>
      </c>
      <c r="DI166" s="42" t="n">
        <f aca="false">IF(Tasks[[#This Row],[_Res2Text]]="",0,IFERROR(MATCH(TRIM(LEFT(Tasks[[#This Row],[_Res2Text]],FIND("[",Tasks[[#This Row],[_Res2Text]]&amp;"[")-1)),res_Name,0),IFERROR(MATCH(TRIM(LEFT(Tasks[[#This Row],[_Res2Text]],FIND("[",Tasks[[#This Row],[_Res2Text]]&amp;"[")-1)),res_Initials,0),0)))</f>
        <v>0</v>
      </c>
      <c r="DJ166" s="42" t="n">
        <f aca="false">IF(Tasks[[#This Row],[_Res3Text]]="",0,IFERROR(MATCH(TRIM(LEFT(Tasks[[#This Row],[_Res3Text]],FIND("[",Tasks[[#This Row],[_Res3Text]]&amp;"[")-1)),res_Name,0),IFERROR(MATCH(TRIM(LEFT(Tasks[[#This Row],[_Res3Text]],FIND("[",Tasks[[#This Row],[_Res3Text]]&amp;"[")-1)),res_Initials,0),0)))</f>
        <v>0</v>
      </c>
      <c r="DK166" s="42" t="n">
        <f aca="false">IF(Tasks[[#This Row],[_Res4Text]]="",0,IFERROR(MATCH(TRIM(LEFT(Tasks[[#This Row],[_Res4Text]],FIND("[",Tasks[[#This Row],[_Res4Text]]&amp;"[")-1)),res_Name,0),IFERROR(MATCH(TRIM(LEFT(Tasks[[#This Row],[_Res4Text]],FIND("[",Tasks[[#This Row],[_Res4Text]]&amp;"[")-1)),res_Initials,0),0)))</f>
        <v>0</v>
      </c>
      <c r="DL166" s="42" t="str">
        <f aca="false">IF(Tasks[[#This Row],[_Res1Text]]="","",IF(Tasks[[#This Row],[_Res1Row]]&gt;0,INDEX(res_Name,Tasks[[#This Row],[_Res1Row]]),TRIM(LEFT(Tasks[[#This Row],[_Res1Text]],FIND("[",Tasks[[#This Row],[_Res1Text]]&amp;"[")-1))))</f>
        <v/>
      </c>
      <c r="DM1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6" s="42" t="n">
        <f aca="false">IF(NOT(Tasks[[#This Row],[_IsLeaf]]=1),0,(Tasks[[#This Row],[_Resource1]]&lt;&gt;"")+(Tasks[[#This Row],[_Res2]]&lt;&gt;"")+(Tasks[[#This Row],[_Res3]]&lt;&gt;"")+(Tasks[[#This Row],[_Res4]]&lt;&gt;""))</f>
        <v>0</v>
      </c>
      <c r="DO166" s="42" t="str">
        <f aca="false">IF(Tasks[[#This Row],[_Res2Text]]="","",IF(Tasks[[#This Row],[_Res2Row]]&gt;0,INDEX(res_Name,Tasks[[#This Row],[_Res2Row]]),TRIM(LEFT(Tasks[[#This Row],[_Res2Text]],FIND("[",Tasks[[#This Row],[_Res2Text]]&amp;"[")-1))))</f>
        <v/>
      </c>
      <c r="DP1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6" s="42" t="n">
        <f aca="false">IF(OR(NOT(Tasks[[#This Row],[_IsLeaf]]=1),Tasks[[#This Row],[_Res2Row]]=0),0,N(Tasks[[#This Row],[_Days]])*HoursPerDay*IF(Tasks[[#This Row],[_Res2Units]]="",DefaultUnits,Tasks[[#This Row],[_Res2Units]]))</f>
        <v>0</v>
      </c>
      <c r="DR166" s="42" t="n">
        <f aca="false">IF(AND(AND(Tasks[[#This Row],[_IsLeaf]]=1,Tasks[[#This Row],[_LeafTotalWork]]&gt;0),Tasks[[#This Row],[_Res2Work]]&gt;0),Tasks[[#This Row],[_Res2Work]]/(Tasks[[#This Row],[_FinishWorkday]]-Tasks[[#This Row],[_StartWorkday]]+1),0)</f>
        <v>0</v>
      </c>
      <c r="DS166" s="42" t="n">
        <f aca="false">Tasks[[#This Row],[_Res2WorkPerWD]]*MAX(0,Tasks[[#This Row],[_StartWorkday]]-1)</f>
        <v>0</v>
      </c>
      <c r="DT166" s="42" t="n">
        <f aca="false">Tasks[[#This Row],[_Res2Work]]*Tasks[[#This Row],[_LeafProgress]]</f>
        <v>0</v>
      </c>
      <c r="DU166" s="42" t="str">
        <f aca="false">IF(Tasks[[#This Row],[_Res3Text]]="","",IF(Tasks[[#This Row],[_Res3Row]]&gt;0,INDEX(res_Name,Tasks[[#This Row],[_Res3Row]]),TRIM(LEFT(Tasks[[#This Row],[_Res3Text]],FIND("[",Tasks[[#This Row],[_Res3Text]]&amp;"[")-1))))</f>
        <v/>
      </c>
      <c r="DV1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6" s="42" t="n">
        <f aca="false">IF(OR(NOT(Tasks[[#This Row],[_IsLeaf]]=1),Tasks[[#This Row],[_Res3Row]]=0),0,N(Tasks[[#This Row],[_Days]])*HoursPerDay*IF(Tasks[[#This Row],[_Res3Units]]="",DefaultUnits,Tasks[[#This Row],[_Res3Units]]))</f>
        <v>0</v>
      </c>
      <c r="DX166" s="42" t="n">
        <f aca="false">IF(AND(AND(Tasks[[#This Row],[_IsLeaf]]=1,Tasks[[#This Row],[_LeafTotalWork]]&gt;0),Tasks[[#This Row],[_Res3Work]]&gt;0),Tasks[[#This Row],[_Res3Work]]/(Tasks[[#This Row],[_FinishWorkday]]-Tasks[[#This Row],[_StartWorkday]]+1),0)</f>
        <v>0</v>
      </c>
      <c r="DY166" s="42" t="n">
        <f aca="false">Tasks[[#This Row],[_Res3WorkPerWD]]*MAX(0,Tasks[[#This Row],[_StartWorkday]]-1)</f>
        <v>0</v>
      </c>
      <c r="DZ166" s="42" t="n">
        <f aca="false">Tasks[[#This Row],[_Res3Work]]*Tasks[[#This Row],[_LeafProgress]]</f>
        <v>0</v>
      </c>
      <c r="EA166" s="42" t="str">
        <f aca="false">IF(Tasks[[#This Row],[_Res4Text]]="","",IF(Tasks[[#This Row],[_Res4Row]]&gt;0,INDEX(res_Name,Tasks[[#This Row],[_Res4Row]]),TRIM(LEFT(Tasks[[#This Row],[_Res4Text]],FIND("[",Tasks[[#This Row],[_Res4Text]]&amp;"[")-1))))</f>
        <v/>
      </c>
      <c r="EB1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6" s="42" t="n">
        <f aca="false">IF(OR(NOT(Tasks[[#This Row],[_IsLeaf]]=1),Tasks[[#This Row],[_Res4Row]]=0),0,N(Tasks[[#This Row],[_Days]])*HoursPerDay*IF(Tasks[[#This Row],[_Res4Units]]="",DefaultUnits,Tasks[[#This Row],[_Res4Units]]))</f>
        <v>0</v>
      </c>
      <c r="ED166" s="42" t="n">
        <f aca="false">IF(AND(AND(Tasks[[#This Row],[_IsLeaf]]=1,Tasks[[#This Row],[_LeafTotalWork]]&gt;0),Tasks[[#This Row],[_Res4Work]]&gt;0),Tasks[[#This Row],[_Res4Work]]/(Tasks[[#This Row],[_FinishWorkday]]-Tasks[[#This Row],[_StartWorkday]]+1),0)</f>
        <v>0</v>
      </c>
      <c r="EE166" s="42" t="n">
        <f aca="false">Tasks[[#This Row],[_Res4WorkPerWD]]*MAX(0,Tasks[[#This Row],[_StartWorkday]]-1)</f>
        <v>0</v>
      </c>
      <c r="EF166" s="42" t="n">
        <f aca="false">Tasks[[#This Row],[_Res4Work]]*Tasks[[#This Row],[_LeafProgress]]</f>
        <v>0</v>
      </c>
      <c r="EG166" s="42" t="n">
        <f aca="false">IF(ISNUMBER(Tasks[[#This Row],[% Complete]]),Tasks[[#This Row],[% Complete]],IF(Tasks[[#This Row],[Stage]]="",0,IFERROR(INDEX(stg_Pct,MATCH(Tasks[[#This Row],[Stage]],stg_Name,0)),0)))</f>
        <v>0</v>
      </c>
      <c r="EH166" s="42" t="n">
        <f aca="false">IF(NOT(Tasks[[#This Row],[_IsLeaf]]=1),0,IF(N(Tasks[[#This Row],[Actual Finish]])&gt;0,1,MIN(1,Tasks[[#This Row],[_Pct]])))</f>
        <v>0</v>
      </c>
      <c r="EI166" s="42" t="n">
        <f aca="false">IF(OR(NOT(Tasks[[#This Row],[_IsLeaf]]=1),Tasks[[#This Row],[_Res1Row]]=0),0,N(Tasks[[#This Row],[_Days]])*HoursPerDay*IF(Tasks[[#This Row],[_Units1]]="",DefaultUnits,Tasks[[#This Row],[_Units1]]))</f>
        <v>0</v>
      </c>
      <c r="EJ166" s="42" t="n">
        <f aca="false">Tasks[[#This Row],[_LeafWork]]+Tasks[[#This Row],[_Res2Work]]+Tasks[[#This Row],[_Res3Work]]+Tasks[[#This Row],[_Res4Work]]</f>
        <v>0</v>
      </c>
      <c r="EK1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6" s="42" t="n">
        <f aca="false">IF(NOT(Tasks[[#This Row],[_IsLeaf]]=1),0,MAX(_xlfn.MAXIFS(Tasks[_Row],Tasks[_Pred1UID],Tasks[[#This Row],[UID]]),_xlfn.MAXIFS(Tasks[_Row],Tasks[_Pred2UID],Tasks[[#This Row],[UID]]),_xlfn.MAXIFS(Tasks[_Row],Tasks[_Pred3UID],Tasks[[#This Row],[UID]]),_xlfn.MAXIFS(Tasks[_Row],Tasks[_Pred4UID],Tasks[[#This Row],[UID]])))</f>
        <v>0</v>
      </c>
      <c r="ET1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6" s="89" t="str">
        <f aca="false">IF(NOT(Tasks[[#This Row],[_IsLeaf]]=1),"",IF(N(Tasks[[#This Row],[_Days]])&lt;=0,Tasks[[#This Row],[_LeafLateFinish]],WORKDAY.INTL(Tasks[[#This Row],[_LeafLateFinish]],-(Tasks[[#This Row],[_Days]]-1),WorkWeek,Holidays)))</f>
        <v/>
      </c>
      <c r="EW1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6" s="88" t="b">
        <f aca="false">AND(Tasks[[#This Row],[_IsLeaf]]=1,Tasks[[#This Row],[_LeafProgress]]&lt;1,N(Tasks[[#This Row],[_LeafTotalSlack]])&lt;=CriticalSlackDays)</f>
        <v>0</v>
      </c>
      <c r="EY166" s="42" t="n">
        <f aca="false">IF(AND(Tasks[[#This Row],[_IsLeaf]]=1,Tasks[[#This Row],[_ConstraintCode]]=1,Tasks[[#This Row],[Mode]]&lt;&gt;"Manual",N(Tasks[[#This Row],[Actual Start]])=0),MAX(0,N(Tasks[[#This Row],[Free Slack]])),0)</f>
        <v>0</v>
      </c>
      <c r="EZ166" s="89" t="str">
        <f aca="false">IF(NOT(Tasks[[#This Row],[_IsLeaf]]=1),"",IF(Tasks[[#This Row],[_AlapShift]]=0,Tasks[[#This Row],[_LeafCalcStart]],WORKDAY.INTL(Tasks[[#This Row],[_LeafCalcStart]],Tasks[[#This Row],[_AlapShift]],WorkWeek,Holidays)))</f>
        <v/>
      </c>
      <c r="FA166" s="89" t="str">
        <f aca="false">IF(NOT(Tasks[[#This Row],[_IsLeaf]]=1),"",IF(Tasks[[#This Row],[_AlapShift]]=0,Tasks[[#This Row],[_LeafCalcFinish]],WORKDAY.INTL(Tasks[[#This Row],[_LeafCalcFinish]],Tasks[[#This Row],[_AlapShift]],WorkWeek,Holidays)))</f>
        <v/>
      </c>
      <c r="FB166" s="89" t="str">
        <f aca="false">IF(NOT(Tasks[[#This Row],[_IsLeaf]]=1),"",IF(Tasks[[#This Row],[_AlapShift]]=0,Tasks[[#This Row],[_LeafFcstStart]],WORKDAY.INTL(Tasks[[#This Row],[_LeafFcstStart]],Tasks[[#This Row],[_AlapShift]],WorkWeek,Holidays)))</f>
        <v/>
      </c>
      <c r="FC166" s="89" t="str">
        <f aca="false">IF(NOT(Tasks[[#This Row],[_IsLeaf]]=1),"",IF(Tasks[[#This Row],[_AlapShift]]=0,Tasks[[#This Row],[_LeafFcstFinish]],WORKDAY.INTL(Tasks[[#This Row],[_LeafFcstFinish]],Tasks[[#This Row],[_AlapShift]],WorkWeek,Holidays)))</f>
        <v/>
      </c>
      <c r="FD166" s="89" t="str">
        <f aca="false">IF(Tasks[[#This Row],[Task Name]]="","",IF(Tasks[[#This Row],[_IsSummary]],MIN(INDEX(Tasks[_ShownCalcStart],Tasks[[#This Row],[_Row]]+1):INDEX(Tasks[_ShownCalcStart],Tasks[[#This Row],[_Row]]+Tasks[[#This Row],[_Descendants]])),Tasks[[#This Row],[_ShownCalcStart]]))</f>
        <v/>
      </c>
      <c r="FE166" s="89" t="str">
        <f aca="false">IF(Tasks[[#This Row],[Task Name]]="","",IF(Tasks[[#This Row],[_IsSummary]],MAX(INDEX(Tasks[_ShownCalcFinish],Tasks[[#This Row],[_Row]]+1):INDEX(Tasks[_ShownCalcFinish],Tasks[[#This Row],[_Row]]+Tasks[[#This Row],[_Descendants]])),Tasks[[#This Row],[_ShownCalcFinish]]))</f>
        <v/>
      </c>
      <c r="FF1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6" s="42" t="n">
        <f aca="false">IF(AND(Tasks[[#This Row],[_IsLeaf]]=1,Tasks[[#This Row],[_LeafTotalWork]]&gt;0),NETWORKDAYS.INTL(ProjectStart,Tasks[[#This Row],[_ShownFcstStart]],WorkWeek,Holidays),0)</f>
        <v>0</v>
      </c>
      <c r="FS166" s="42" t="n">
        <f aca="false">IF(AND(Tasks[[#This Row],[_IsLeaf]]=1,Tasks[[#This Row],[_LeafTotalWork]]&gt;0),MAX(Tasks[[#This Row],[_StartWorkday]],NETWORKDAYS.INTL(ProjectStart,Tasks[[#This Row],[_ShownFcstFinish]],WorkWeek,Holidays)),0)</f>
        <v>0</v>
      </c>
      <c r="FT166" s="42" t="n">
        <f aca="false">IF(AND(Tasks[[#This Row],[_IsLeaf]]=1,Tasks[[#This Row],[_LeafTotalWork]]&gt;0),Tasks[[#This Row],[_LeafWork]]/(Tasks[[#This Row],[_FinishWorkday]]-Tasks[[#This Row],[_StartWorkday]]+1),0)</f>
        <v>0</v>
      </c>
      <c r="FU166" s="42" t="n">
        <f aca="false">Tasks[[#This Row],[_WorkPerWorkday]]*(Tasks[[#This Row],[_StartWorkday]]-1)</f>
        <v>-0</v>
      </c>
      <c r="FV166" s="42" t="n">
        <f aca="false">IF(Tasks[[#This Row],[_IsLeaf]]=1,MAX(N(Tasks[[#This Row],[_Days]]),0.1),0)</f>
        <v>0</v>
      </c>
      <c r="FW166" s="42" t="n">
        <f aca="false">Tasks[[#This Row],[_WeightDur]]*Tasks[[#This Row],[_LeafProgress]]</f>
        <v>0</v>
      </c>
      <c r="FX166" s="42" t="n">
        <f aca="false">Tasks[[#This Row],[_WeightDur]]*Tasks[[#This Row],[_PlannedPct]]</f>
        <v>0</v>
      </c>
      <c r="FY1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6" s="42" t="str">
        <f aca="false">IF(AND(Tasks[[#This Row],[_IsLeaf]]=1,N(Tasks[[#This Row],[_Days]])=0,Tasks[[#This Row],[_LeafProgress]]&lt;1),Tasks[[#This Row],[_ShownFcstFinish]]+Tasks[[#This Row],[_Row]]/100000,"")</f>
        <v/>
      </c>
      <c r="GA1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6" s="42" t="str">
        <f aca="false">IF(Tasks[[#This Row],[Task Name]]="","",LEFT(Tasks[[#This Row],[WBS]],FIND(".",Tasks[[#This Row],[WBS]]&amp;".")-1))</f>
        <v/>
      </c>
      <c r="GC166" s="42" t="str">
        <f aca="false">IF(AND(Tasks[[#This Row],[Task Name]]&lt;&gt;"",Tasks[[#This Row],[_Level]]=1),Tasks[[#This Row],[_Row]],"")</f>
        <v/>
      </c>
      <c r="GD166" s="42" t="str">
        <f aca="false">IF(AND(Tasks[[#This Row],[_IsLeaf]]=1,N(Tasks[[#This Row],[_Days]])=0),Tasks[[#This Row],[Planned Finish]]+Tasks[[#This Row],[_Row]]/100000,"")</f>
        <v/>
      </c>
      <c r="GE166" s="42" t="str">
        <f aca="false">IF(AND(Tasks[[#This Row],[_IsLeaf]]=1,Tasks[[#This Row],[_LeafProgress]]&lt;1,OR(N(Tasks[[#This Row],[Finish Var]])&gt;0,Tasks[[#This Row],[Status]]="Late Start")),MAX(0,Tasks[[#This Row],[Finish Var]])+1-Tasks[[#This Row],[_Row]]/1000000,"")</f>
        <v/>
      </c>
      <c r="GF166" s="42" t="str">
        <f aca="false">IF(AND(Tasks[[#This Row],[_IsLeaf]]=1,N(Tasks[[#This Row],[Actual Start]])=0,Tasks[[#This Row],[_ShownFcstStart]]&gt;=StatusDate,Tasks[[#This Row],[_ShownFcstStart]]&lt;=LookaheadEnd),Tasks[[#This Row],[_ShownFcstStart]]+Tasks[[#This Row],[_Row]]/100000,"")</f>
        <v/>
      </c>
      <c r="GG166" s="42" t="str">
        <f aca="false">IF(AND(Tasks[[#This Row],[_IsLeaf]]=1,Tasks[[#This Row],[_LeafProgress]]&lt;1,Tasks[[#This Row],[_ShownFcstFinish]]&gt;=StatusDate,Tasks[[#This Row],[_ShownFcstFinish]]&lt;=LookaheadEnd),Tasks[[#This Row],[_ShownFcstFinish]]+Tasks[[#This Row],[_Row]]/100000,"")</f>
        <v/>
      </c>
      <c r="GH166" s="42" t="str">
        <f aca="false">IF(Tasks[[#This Row],[_LeafCritical]],Tasks[[#This Row],[_ShownFcstStart]]+Tasks[[#This Row],[_Row]]/100000,"")</f>
        <v/>
      </c>
      <c r="GI166" s="42" t="n">
        <f aca="false">Tasks[[#This Row],[_LeafWork]]*Tasks[[#This Row],[_LeafProgress]]</f>
        <v>0</v>
      </c>
      <c r="GJ166" s="89" t="str">
        <f aca="false">IF(AND(Tasks[[#This Row],[_IsLeaf]]=1,Tasks[[#This Row],[_LeafProgress]]&gt;=1),IF(N(Tasks[[#This Row],[Actual Finish]])&gt;0,Tasks[[#This Row],[Actual Finish]],Tasks[[#This Row],[_ShownFcstFinish]]),"")</f>
        <v/>
      </c>
      <c r="GK166" s="42" t="n">
        <f aca="false">IF(Tasks[[#This Row],[_IsLeaf]]=1,N(Tasks[[#This Row],[Story Points]]),0)</f>
        <v>0</v>
      </c>
      <c r="GL166" s="42" t="str">
        <f aca="false">""</f>
        <v/>
      </c>
      <c r="GM166" s="88" t="b">
        <f aca="false">IF(Tasks[[#This Row],[Task Name]]="",FALSE(),AND(Tasks[[#This Row],[_IsLeaf]]=1,N(Tasks[[#This Row],[_Days]])=0))</f>
        <v>0</v>
      </c>
      <c r="GN166" s="89" t="n">
        <f aca="false">IF(Tasks[[#This Row],[Task Name]]="",0,IF(AND(Tasks[[#This Row],[_IsLeaf]]=1,NOT(Tasks[[#This Row],[_IsMilestone]]),N(Tasks[[#This Row],[Progress]])&gt;0),Tasks[[#This Row],[Start]],0))</f>
        <v>0</v>
      </c>
      <c r="GO166" s="89" t="n">
        <f aca="false">IF(Tasks[[#This Row],[_DoneFrom]]=0,0,IF(Tasks[[#This Row],[Progress]]&gt;=1,Tasks[[#This Row],[Finish]],MAX(Tasks[[#This Row],[_DoneFrom]],Tasks[[#This Row],[Start]]+ROUND((Tasks[[#This Row],[Finish]]-Tasks[[#This Row],[Start]]+1)*Tasks[[#This Row],[Progress]],0)-1)))</f>
        <v>0</v>
      </c>
      <c r="GP166" s="89" t="n">
        <f aca="false">IF(Tasks[[#This Row],[Task Name]]="",0,IF(OR(NOT(Tasks[[#This Row],[_IsLeaf]]=1),Tasks[[#This Row],[_IsMilestone]],N(Tasks[[#This Row],[Progress]])&gt;=1),0,IF(Tasks[[#This Row],[_DoneTo]]&gt;0,Tasks[[#This Row],[_DoneTo]]+1,Tasks[[#This Row],[Start]])))</f>
        <v>0</v>
      </c>
      <c r="GQ166" s="89" t="n">
        <f aca="false">IF(Tasks[[#This Row],[_RemFrom]]=0,0,Tasks[[#This Row],[Finish]])</f>
        <v>0</v>
      </c>
      <c r="GR166" s="88" t="b">
        <f aca="false">IF(Tasks[[#This Row],[Task Name]]="",FALSE(),OR(NOT(BaselineSet),N(Tasks[[#This Row],[Baseline Start]])&gt;0))</f>
        <v>0</v>
      </c>
      <c r="GS1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6" s="90" t="str">
        <f aca="false">IF(Tasks[[#This Row],[_IsLeaf]]=1,Tasks[[#This Row],[_Row]],"")</f>
        <v/>
      </c>
      <c r="GW166" s="90" t="str">
        <f aca="false">IFERROR(INDEX(Tasks[UID],SMALL(Tasks[_PickKey],Tasks[[#This Row],[_Row]]))&amp;" "&amp;INDEX(Tasks[Task Name],SMALL(Tasks[_PickKey],Tasks[[#This Row],[_Row]])),"")</f>
        <v/>
      </c>
      <c r="GX166" s="42" t="str">
        <f aca="false">IF(Tasks[[#This Row],[Task Name]]="","",IF(Tasks[[#This Row],[_IsSummary]],NETWORKDAYS.INTL(Tasks[[#This Row],[Start]],Tasks[[#This Row],[Finish]],WorkWeek,Holidays),N(Tasks[[#This Row],[_Days]])))</f>
        <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3"/>
      <c r="U167" s="23"/>
      <c r="V167" s="83"/>
      <c r="W167" s="23"/>
      <c r="X167" s="83"/>
      <c r="Y167" s="23"/>
      <c r="Z167" s="83"/>
      <c r="AA167" s="23"/>
      <c r="AB167" s="23"/>
      <c r="AC167" s="7"/>
      <c r="AD167" s="7"/>
      <c r="AE167" s="62" t="str">
        <f aca="false">IF(Tasks[[#This Row],[Task Name]]="","",IF(Tasks[[#This Row],[_IsSummary]],MIN(INDEX(Tasks[_ShownFcstStart],Tasks[[#This Row],[_Row]]+1):INDEX(Tasks[_ShownFcstStart],Tasks[[#This Row],[_Row]]+Tasks[[#This Row],[_Descendants]])),Tasks[[#This Row],[_ShownFcstStart]]))</f>
        <v/>
      </c>
      <c r="AF167" s="62"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7" s="7"/>
      <c r="AK167" s="22"/>
      <c r="AL167" s="23"/>
      <c r="AM167" s="7"/>
      <c r="AN167" s="46"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2" t="str">
        <f aca="false">IF(Tasks[[#This Row],[Task Name]]="","",IF(N(Tasks[[#This Row],[Baseline Start]])&gt;0,Tasks[[#This Row],[Baseline Start]],Tasks[[#This Row],[_CalcStart]]))</f>
        <v/>
      </c>
      <c r="AR167" s="62" t="str">
        <f aca="false">IF(Tasks[[#This Row],[Task Name]]="","",IF(N(Tasks[[#This Row],[Baseline Finish]])&gt;0,Tasks[[#This Row],[Baseline Finish]],Tasks[[#This Row],[_CalcFinish]]))</f>
        <v/>
      </c>
      <c r="AS167" s="46" t="str">
        <f aca="false">IF(Tasks[[#This Row],[Task Name]]="","",IF(Tasks[[#This Row],[Start]]&gt;=Tasks[[#This Row],[Planned Start]],NETWORKDAYS.INTL(Tasks[[#This Row],[Planned Start]],Tasks[[#This Row],[Start]],WorkWeek,Holidays)-1,1-NETWORKDAYS.INTL(Tasks[[#This Row],[Start]],Tasks[[#This Row],[Planned Start]],WorkWeek,Holidays)))</f>
        <v/>
      </c>
      <c r="AT167" s="62" t="str">
        <f aca="false">IF(Tasks[[#This Row],[Task Name]]="","",IF(Tasks[[#This Row],[_IsSummary]],MIN(INDEX(Tasks[_LeafLateStart],Tasks[[#This Row],[_Row]]+1):INDEX(Tasks[_LeafLateStart],Tasks[[#This Row],[_Row]]+Tasks[[#This Row],[_Descendants]])),Tasks[[#This Row],[_LeafLateStart]]))</f>
        <v/>
      </c>
      <c r="AU167" s="62" t="str">
        <f aca="false">IF(Tasks[[#This Row],[Task Name]]="","",IF(Tasks[[#This Row],[_IsSummary]],MAX(INDEX(Tasks[_LeafLateFinish],Tasks[[#This Row],[_Row]]+1):INDEX(Tasks[_LeafLateFinish],Tasks[[#This Row],[_Row]]+Tasks[[#This Row],[_Descendants]])),Tasks[[#This Row],[_LeafLateFinish]]))</f>
        <v/>
      </c>
      <c r="AV167" s="46"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4"/>
      <c r="BA1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5"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6"/>
      <c r="BJ167" s="22"/>
      <c r="BK167" s="46" t="str">
        <f aca="false">IF(OR(Tasks[[#This Row],[Task Name]]="",Tasks[[#This Row],[Baseline Duration]]=""),"",Tasks[[#This Row],[_SpanDays]]-N(Tasks[[#This Row],[Baseline Duration]]))</f>
        <v/>
      </c>
      <c r="BL167" s="85" t="str">
        <f aca="false">IF(OR(Tasks[[#This Row],[Task Name]]="",Tasks[[#This Row],[Baseline Work]]=""),"",Tasks[[#This Row],[Work]]-N(Tasks[[#This Row],[Baseline Work]]))</f>
        <v/>
      </c>
      <c r="BM167" s="62" t="str">
        <f aca="false">IF(Tasks[[#This Row],[Task Name]]="","",IF(OR(TakeBaseline="Yes",N(Tasks[[#This Row],[Baseline Start]])=0),Tasks[[#This Row],[Start]],Tasks[[#This Row],[Baseline Start]]))</f>
        <v/>
      </c>
      <c r="BN167" s="62"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5" t="str">
        <f aca="false">IF(Tasks[[#This Row],[Task Name]]="","",IF(OR(TakeBaseline="Yes",N(Tasks[[#This Row],[Baseline Work]])=0),Tasks[[#This Row],[Work]],Tasks[[#This Row],[Baseline Work]]))</f>
        <v/>
      </c>
      <c r="BQ167" s="7"/>
      <c r="BR167" s="7"/>
      <c r="BS167" s="22"/>
      <c r="BT167" s="87"/>
      <c r="BU167" s="42" t="str">
        <f aca="false">IF(Tasks[[#This Row],[Task Name]]="","",MAX(1,N(Tasks[[#This Row],[Level]])))</f>
        <v/>
      </c>
      <c r="BV167" s="42" t="n">
        <f aca="false">ROW()-ROW(Tasks[[#Headers],[ID]])</f>
        <v>162</v>
      </c>
      <c r="BW167" s="42" t="n">
        <f aca="false">IF(OR(Tasks[[#This Row],[Task Name]]="",Tasks[[#This Row],[_Level]]&lt;=1),0,IFERROR(LOOKUP(2,1/(Tasks[[#Headers],[_Level]]:Tasks[[#This Row],[_Level]]=Tasks[[#This Row],[_Level]]-1),ROW(Tasks[[#Headers],[_Level]]:Tasks[[#This Row],[_Level]])),0))</f>
        <v>0</v>
      </c>
      <c r="BX167" s="42" t="n">
        <f aca="false">IFERROR(N(INDEX(Tasks[_Level],Tasks[[#This Row],[_Row]]+1)),0)</f>
        <v>0</v>
      </c>
      <c r="BY167" s="88" t="b">
        <f aca="false">AND(Tasks[[#This Row],[Task Name]]&lt;&gt;"",Tasks[[#This Row],[_NextLevel]]&gt;Tasks[[#This Row],[_Level]])</f>
        <v>0</v>
      </c>
      <c r="BZ167" s="42" t="n">
        <f aca="false">IF(Tasks[[#This Row],[_IsSummary]],COUNTIF(Tasks[WBS],Tasks[[#This Row],[WBS]]&amp;".*"),0)</f>
        <v>0</v>
      </c>
      <c r="CA167" s="42" t="n">
        <f aca="false">IF(AND(Tasks[[#This Row],[Task Name]]&lt;&gt;"",NOT(Tasks[[#This Row],[_IsSummary]])),1,0)</f>
        <v>0</v>
      </c>
      <c r="CB167" s="42" t="n">
        <f aca="false">IF(N(Tasks[[#This Row],[_Pred1UID]])=0,0,IFERROR(MATCH(Tasks[[#This Row],[_Pred1UID]],Tasks[UID],0),-1))</f>
        <v>0</v>
      </c>
      <c r="CC167" s="42" t="n">
        <f aca="false">IF(N(Tasks[[#This Row],[_Pred2UID]])=0,0,IFERROR(MATCH(Tasks[[#This Row],[_Pred2UID]],Tasks[UID],0),-1))</f>
        <v>0</v>
      </c>
      <c r="CD167" s="42" t="n">
        <f aca="false">IF(N(Tasks[[#This Row],[_Pred3UID]])=0,0,IFERROR(MATCH(Tasks[[#This Row],[_Pred3UID]],Tasks[UID],0),-1))</f>
        <v>0</v>
      </c>
      <c r="CE167" s="42" t="n">
        <f aca="false">IF(N(Tasks[[#This Row],[_Pred4UID]])=0,0,IFERROR(MATCH(Tasks[[#This Row],[_Pred4UID]],Tasks[UID],0),-1))</f>
        <v>0</v>
      </c>
      <c r="CF1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7" s="89" t="n">
        <f aca="false">IF(OR(Tasks[[#This Row],[_ConstraintCode]]=2,Tasks[[#This Row],[_ConstraintCode]]=3,Tasks[[#This Row],[_ConstraintCode]]=4,Tasks[[#This Row],[_ConstraintCode]]=6),Tasks[[#This Row],[_ConstraintStart]],0)</f>
        <v>0</v>
      </c>
      <c r="CI167" s="89" t="n">
        <f aca="false">IF(OR(Tasks[[#This Row],[_ConstraintCode]]=2,Tasks[[#This Row],[_ConstraintCode]]=3,Tasks[[#This Row],[_ConstraintCode]]=5,Tasks[[#This Row],[_ConstraintCode]]=7),Tasks[[#This Row],[_ConstraintStart]],2958465)</f>
        <v>2958465</v>
      </c>
      <c r="CJ1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7" s="89" t="str">
        <f aca="false">IF(NOT(Tasks[[#This Row],[_IsLeaf]]=1),"",IF(N(Tasks[[#This Row],[_Days]])&lt;=0,Tasks[[#This Row],[_LeafCalcStart]],WORKDAY.INTL(Tasks[[#This Row],[_LeafCalcStart]],Tasks[[#This Row],[_Days]]-1,WorkWeek,Holidays)))</f>
        <v/>
      </c>
      <c r="CL1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7" s="42" t="str">
        <f aca="false">IF(Tasks[[#This Row],[_Predecessors]]="","",TRIM(MID(SUBSTITUTE(SUBSTITUTE(SUBSTITUTE(UPPER(Tasks[[#This Row],[_Predecessors]]),";",",")," ",""),",",REPT(" ",99)),1,99)))</f>
        <v/>
      </c>
      <c r="CO167" s="42" t="str">
        <f aca="false">IF(Tasks[[#This Row],[_Pred1Text]]="","",IFERROR(VALUE(LEFT(Tasks[[#This Row],[_Pred1Text]],MIN(FIND("F",Tasks[[#This Row],[_Pred1Text]]&amp;"F"),FIND("S",Tasks[[#This Row],[_Pred1Text]]&amp;"S"),FIND("+",Tasks[[#This Row],[_Pred1Text]]&amp;"+"),FIND("-",Tasks[[#This Row],[_Pred1Text]]&amp;"-"))-1)),""))</f>
        <v/>
      </c>
      <c r="CP1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7" s="42" t="str">
        <f aca="false">IF(Tasks[[#This Row],[_Pred1Text]]="","",TRIM(MID(SUBSTITUTE(SUBSTITUTE(SUBSTITUTE(UPPER(Tasks[[#This Row],[_Predecessors]]),";",",")," ",""),",",REPT(" ",99)),100,99)))</f>
        <v/>
      </c>
      <c r="CS167" s="42" t="str">
        <f aca="false">IF(Tasks[[#This Row],[_Pred2Text]]="","",IFERROR(VALUE(LEFT(Tasks[[#This Row],[_Pred2Text]],MIN(FIND("F",Tasks[[#This Row],[_Pred2Text]]&amp;"F"),FIND("S",Tasks[[#This Row],[_Pred2Text]]&amp;"S"),FIND("+",Tasks[[#This Row],[_Pred2Text]]&amp;"+"),FIND("-",Tasks[[#This Row],[_Pred2Text]]&amp;"-"))-1)),""))</f>
        <v/>
      </c>
      <c r="CT1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7" s="42" t="str">
        <f aca="false">IF(Tasks[[#This Row],[_Pred2Text]]="","",TRIM(MID(SUBSTITUTE(SUBSTITUTE(SUBSTITUTE(UPPER(Tasks[[#This Row],[_Predecessors]]),";",",")," ",""),",",REPT(" ",99)),199,99)))</f>
        <v/>
      </c>
      <c r="CW167" s="42" t="str">
        <f aca="false">IF(Tasks[[#This Row],[_Pred3Text]]="","",IFERROR(VALUE(LEFT(Tasks[[#This Row],[_Pred3Text]],MIN(FIND("F",Tasks[[#This Row],[_Pred3Text]]&amp;"F"),FIND("S",Tasks[[#This Row],[_Pred3Text]]&amp;"S"),FIND("+",Tasks[[#This Row],[_Pred3Text]]&amp;"+"),FIND("-",Tasks[[#This Row],[_Pred3Text]]&amp;"-"))-1)),""))</f>
        <v/>
      </c>
      <c r="CX1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7" s="42" t="str">
        <f aca="false">IF(Tasks[[#This Row],[_Pred3Text]]="","",TRIM(MID(SUBSTITUTE(SUBSTITUTE(SUBSTITUTE(UPPER(Tasks[[#This Row],[_Predecessors]]),";",",")," ",""),",",REPT(" ",99)),298,99)))</f>
        <v/>
      </c>
      <c r="DA167" s="42" t="str">
        <f aca="false">IF(Tasks[[#This Row],[_Pred4Text]]="","",IFERROR(VALUE(LEFT(Tasks[[#This Row],[_Pred4Text]],MIN(FIND("F",Tasks[[#This Row],[_Pred4Text]]&amp;"F"),FIND("S",Tasks[[#This Row],[_Pred4Text]]&amp;"S"),FIND("+",Tasks[[#This Row],[_Pred4Text]]&amp;"+"),FIND("-",Tasks[[#This Row],[_Pred4Text]]&amp;"-"))-1)),""))</f>
        <v/>
      </c>
      <c r="DB1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7" s="42" t="str">
        <f aca="false">IF(OR(Tasks[[#This Row],[Task Name]]="",Tasks[[#This Row],[_Resources]]=""),"",TRIM(MID(SUBSTITUTE(Tasks[[#This Row],[_Resources]],",",REPT(" ",99)),1,99)))</f>
        <v/>
      </c>
      <c r="DE167" s="42" t="str">
        <f aca="false">IF(Tasks[[#This Row],[_Res1Text]]="","",TRIM(MID(SUBSTITUTE(Tasks[[#This Row],[_Resources]],",",REPT(" ",99)),100,99)))</f>
        <v/>
      </c>
      <c r="DF167" s="42" t="str">
        <f aca="false">IF(Tasks[[#This Row],[_Res2Text]]="","",TRIM(MID(SUBSTITUTE(Tasks[[#This Row],[_Resources]],",",REPT(" ",99)),199,99)))</f>
        <v/>
      </c>
      <c r="DG167" s="42" t="str">
        <f aca="false">IF(Tasks[[#This Row],[_Res3Text]]="","",TRIM(MID(SUBSTITUTE(Tasks[[#This Row],[_Resources]],",",REPT(" ",99)),298,99)))</f>
        <v/>
      </c>
      <c r="DH167" s="42" t="n">
        <f aca="false">IF(Tasks[[#This Row],[_Res1Text]]="",0,IFERROR(MATCH(TRIM(LEFT(Tasks[[#This Row],[_Res1Text]],FIND("[",Tasks[[#This Row],[_Res1Text]]&amp;"[")-1)),res_Name,0),IFERROR(MATCH(TRIM(LEFT(Tasks[[#This Row],[_Res1Text]],FIND("[",Tasks[[#This Row],[_Res1Text]]&amp;"[")-1)),res_Initials,0),0)))</f>
        <v>0</v>
      </c>
      <c r="DI167" s="42" t="n">
        <f aca="false">IF(Tasks[[#This Row],[_Res2Text]]="",0,IFERROR(MATCH(TRIM(LEFT(Tasks[[#This Row],[_Res2Text]],FIND("[",Tasks[[#This Row],[_Res2Text]]&amp;"[")-1)),res_Name,0),IFERROR(MATCH(TRIM(LEFT(Tasks[[#This Row],[_Res2Text]],FIND("[",Tasks[[#This Row],[_Res2Text]]&amp;"[")-1)),res_Initials,0),0)))</f>
        <v>0</v>
      </c>
      <c r="DJ167" s="42" t="n">
        <f aca="false">IF(Tasks[[#This Row],[_Res3Text]]="",0,IFERROR(MATCH(TRIM(LEFT(Tasks[[#This Row],[_Res3Text]],FIND("[",Tasks[[#This Row],[_Res3Text]]&amp;"[")-1)),res_Name,0),IFERROR(MATCH(TRIM(LEFT(Tasks[[#This Row],[_Res3Text]],FIND("[",Tasks[[#This Row],[_Res3Text]]&amp;"[")-1)),res_Initials,0),0)))</f>
        <v>0</v>
      </c>
      <c r="DK167" s="42" t="n">
        <f aca="false">IF(Tasks[[#This Row],[_Res4Text]]="",0,IFERROR(MATCH(TRIM(LEFT(Tasks[[#This Row],[_Res4Text]],FIND("[",Tasks[[#This Row],[_Res4Text]]&amp;"[")-1)),res_Name,0),IFERROR(MATCH(TRIM(LEFT(Tasks[[#This Row],[_Res4Text]],FIND("[",Tasks[[#This Row],[_Res4Text]]&amp;"[")-1)),res_Initials,0),0)))</f>
        <v>0</v>
      </c>
      <c r="DL167" s="42" t="str">
        <f aca="false">IF(Tasks[[#This Row],[_Res1Text]]="","",IF(Tasks[[#This Row],[_Res1Row]]&gt;0,INDEX(res_Name,Tasks[[#This Row],[_Res1Row]]),TRIM(LEFT(Tasks[[#This Row],[_Res1Text]],FIND("[",Tasks[[#This Row],[_Res1Text]]&amp;"[")-1))))</f>
        <v/>
      </c>
      <c r="DM1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7" s="42" t="n">
        <f aca="false">IF(NOT(Tasks[[#This Row],[_IsLeaf]]=1),0,(Tasks[[#This Row],[_Resource1]]&lt;&gt;"")+(Tasks[[#This Row],[_Res2]]&lt;&gt;"")+(Tasks[[#This Row],[_Res3]]&lt;&gt;"")+(Tasks[[#This Row],[_Res4]]&lt;&gt;""))</f>
        <v>0</v>
      </c>
      <c r="DO167" s="42" t="str">
        <f aca="false">IF(Tasks[[#This Row],[_Res2Text]]="","",IF(Tasks[[#This Row],[_Res2Row]]&gt;0,INDEX(res_Name,Tasks[[#This Row],[_Res2Row]]),TRIM(LEFT(Tasks[[#This Row],[_Res2Text]],FIND("[",Tasks[[#This Row],[_Res2Text]]&amp;"[")-1))))</f>
        <v/>
      </c>
      <c r="DP1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7" s="42" t="n">
        <f aca="false">IF(OR(NOT(Tasks[[#This Row],[_IsLeaf]]=1),Tasks[[#This Row],[_Res2Row]]=0),0,N(Tasks[[#This Row],[_Days]])*HoursPerDay*IF(Tasks[[#This Row],[_Res2Units]]="",DefaultUnits,Tasks[[#This Row],[_Res2Units]]))</f>
        <v>0</v>
      </c>
      <c r="DR167" s="42" t="n">
        <f aca="false">IF(AND(AND(Tasks[[#This Row],[_IsLeaf]]=1,Tasks[[#This Row],[_LeafTotalWork]]&gt;0),Tasks[[#This Row],[_Res2Work]]&gt;0),Tasks[[#This Row],[_Res2Work]]/(Tasks[[#This Row],[_FinishWorkday]]-Tasks[[#This Row],[_StartWorkday]]+1),0)</f>
        <v>0</v>
      </c>
      <c r="DS167" s="42" t="n">
        <f aca="false">Tasks[[#This Row],[_Res2WorkPerWD]]*MAX(0,Tasks[[#This Row],[_StartWorkday]]-1)</f>
        <v>0</v>
      </c>
      <c r="DT167" s="42" t="n">
        <f aca="false">Tasks[[#This Row],[_Res2Work]]*Tasks[[#This Row],[_LeafProgress]]</f>
        <v>0</v>
      </c>
      <c r="DU167" s="42" t="str">
        <f aca="false">IF(Tasks[[#This Row],[_Res3Text]]="","",IF(Tasks[[#This Row],[_Res3Row]]&gt;0,INDEX(res_Name,Tasks[[#This Row],[_Res3Row]]),TRIM(LEFT(Tasks[[#This Row],[_Res3Text]],FIND("[",Tasks[[#This Row],[_Res3Text]]&amp;"[")-1))))</f>
        <v/>
      </c>
      <c r="DV1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7" s="42" t="n">
        <f aca="false">IF(OR(NOT(Tasks[[#This Row],[_IsLeaf]]=1),Tasks[[#This Row],[_Res3Row]]=0),0,N(Tasks[[#This Row],[_Days]])*HoursPerDay*IF(Tasks[[#This Row],[_Res3Units]]="",DefaultUnits,Tasks[[#This Row],[_Res3Units]]))</f>
        <v>0</v>
      </c>
      <c r="DX167" s="42" t="n">
        <f aca="false">IF(AND(AND(Tasks[[#This Row],[_IsLeaf]]=1,Tasks[[#This Row],[_LeafTotalWork]]&gt;0),Tasks[[#This Row],[_Res3Work]]&gt;0),Tasks[[#This Row],[_Res3Work]]/(Tasks[[#This Row],[_FinishWorkday]]-Tasks[[#This Row],[_StartWorkday]]+1),0)</f>
        <v>0</v>
      </c>
      <c r="DY167" s="42" t="n">
        <f aca="false">Tasks[[#This Row],[_Res3WorkPerWD]]*MAX(0,Tasks[[#This Row],[_StartWorkday]]-1)</f>
        <v>0</v>
      </c>
      <c r="DZ167" s="42" t="n">
        <f aca="false">Tasks[[#This Row],[_Res3Work]]*Tasks[[#This Row],[_LeafProgress]]</f>
        <v>0</v>
      </c>
      <c r="EA167" s="42" t="str">
        <f aca="false">IF(Tasks[[#This Row],[_Res4Text]]="","",IF(Tasks[[#This Row],[_Res4Row]]&gt;0,INDEX(res_Name,Tasks[[#This Row],[_Res4Row]]),TRIM(LEFT(Tasks[[#This Row],[_Res4Text]],FIND("[",Tasks[[#This Row],[_Res4Text]]&amp;"[")-1))))</f>
        <v/>
      </c>
      <c r="EB1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7" s="42" t="n">
        <f aca="false">IF(OR(NOT(Tasks[[#This Row],[_IsLeaf]]=1),Tasks[[#This Row],[_Res4Row]]=0),0,N(Tasks[[#This Row],[_Days]])*HoursPerDay*IF(Tasks[[#This Row],[_Res4Units]]="",DefaultUnits,Tasks[[#This Row],[_Res4Units]]))</f>
        <v>0</v>
      </c>
      <c r="ED167" s="42" t="n">
        <f aca="false">IF(AND(AND(Tasks[[#This Row],[_IsLeaf]]=1,Tasks[[#This Row],[_LeafTotalWork]]&gt;0),Tasks[[#This Row],[_Res4Work]]&gt;0),Tasks[[#This Row],[_Res4Work]]/(Tasks[[#This Row],[_FinishWorkday]]-Tasks[[#This Row],[_StartWorkday]]+1),0)</f>
        <v>0</v>
      </c>
      <c r="EE167" s="42" t="n">
        <f aca="false">Tasks[[#This Row],[_Res4WorkPerWD]]*MAX(0,Tasks[[#This Row],[_StartWorkday]]-1)</f>
        <v>0</v>
      </c>
      <c r="EF167" s="42" t="n">
        <f aca="false">Tasks[[#This Row],[_Res4Work]]*Tasks[[#This Row],[_LeafProgress]]</f>
        <v>0</v>
      </c>
      <c r="EG167" s="42" t="n">
        <f aca="false">IF(ISNUMBER(Tasks[[#This Row],[% Complete]]),Tasks[[#This Row],[% Complete]],IF(Tasks[[#This Row],[Stage]]="",0,IFERROR(INDEX(stg_Pct,MATCH(Tasks[[#This Row],[Stage]],stg_Name,0)),0)))</f>
        <v>0</v>
      </c>
      <c r="EH167" s="42" t="n">
        <f aca="false">IF(NOT(Tasks[[#This Row],[_IsLeaf]]=1),0,IF(N(Tasks[[#This Row],[Actual Finish]])&gt;0,1,MIN(1,Tasks[[#This Row],[_Pct]])))</f>
        <v>0</v>
      </c>
      <c r="EI167" s="42" t="n">
        <f aca="false">IF(OR(NOT(Tasks[[#This Row],[_IsLeaf]]=1),Tasks[[#This Row],[_Res1Row]]=0),0,N(Tasks[[#This Row],[_Days]])*HoursPerDay*IF(Tasks[[#This Row],[_Units1]]="",DefaultUnits,Tasks[[#This Row],[_Units1]]))</f>
        <v>0</v>
      </c>
      <c r="EJ167" s="42" t="n">
        <f aca="false">Tasks[[#This Row],[_LeafWork]]+Tasks[[#This Row],[_Res2Work]]+Tasks[[#This Row],[_Res3Work]]+Tasks[[#This Row],[_Res4Work]]</f>
        <v>0</v>
      </c>
      <c r="EK1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7" s="42" t="n">
        <f aca="false">IF(NOT(Tasks[[#This Row],[_IsLeaf]]=1),0,MAX(_xlfn.MAXIFS(Tasks[_Row],Tasks[_Pred1UID],Tasks[[#This Row],[UID]]),_xlfn.MAXIFS(Tasks[_Row],Tasks[_Pred2UID],Tasks[[#This Row],[UID]]),_xlfn.MAXIFS(Tasks[_Row],Tasks[_Pred3UID],Tasks[[#This Row],[UID]]),_xlfn.MAXIFS(Tasks[_Row],Tasks[_Pred4UID],Tasks[[#This Row],[UID]])))</f>
        <v>0</v>
      </c>
      <c r="ET1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7" s="89" t="str">
        <f aca="false">IF(NOT(Tasks[[#This Row],[_IsLeaf]]=1),"",IF(N(Tasks[[#This Row],[_Days]])&lt;=0,Tasks[[#This Row],[_LeafLateFinish]],WORKDAY.INTL(Tasks[[#This Row],[_LeafLateFinish]],-(Tasks[[#This Row],[_Days]]-1),WorkWeek,Holidays)))</f>
        <v/>
      </c>
      <c r="EW1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7" s="88" t="b">
        <f aca="false">AND(Tasks[[#This Row],[_IsLeaf]]=1,Tasks[[#This Row],[_LeafProgress]]&lt;1,N(Tasks[[#This Row],[_LeafTotalSlack]])&lt;=CriticalSlackDays)</f>
        <v>0</v>
      </c>
      <c r="EY167" s="42" t="n">
        <f aca="false">IF(AND(Tasks[[#This Row],[_IsLeaf]]=1,Tasks[[#This Row],[_ConstraintCode]]=1,Tasks[[#This Row],[Mode]]&lt;&gt;"Manual",N(Tasks[[#This Row],[Actual Start]])=0),MAX(0,N(Tasks[[#This Row],[Free Slack]])),0)</f>
        <v>0</v>
      </c>
      <c r="EZ167" s="89" t="str">
        <f aca="false">IF(NOT(Tasks[[#This Row],[_IsLeaf]]=1),"",IF(Tasks[[#This Row],[_AlapShift]]=0,Tasks[[#This Row],[_LeafCalcStart]],WORKDAY.INTL(Tasks[[#This Row],[_LeafCalcStart]],Tasks[[#This Row],[_AlapShift]],WorkWeek,Holidays)))</f>
        <v/>
      </c>
      <c r="FA167" s="89" t="str">
        <f aca="false">IF(NOT(Tasks[[#This Row],[_IsLeaf]]=1),"",IF(Tasks[[#This Row],[_AlapShift]]=0,Tasks[[#This Row],[_LeafCalcFinish]],WORKDAY.INTL(Tasks[[#This Row],[_LeafCalcFinish]],Tasks[[#This Row],[_AlapShift]],WorkWeek,Holidays)))</f>
        <v/>
      </c>
      <c r="FB167" s="89" t="str">
        <f aca="false">IF(NOT(Tasks[[#This Row],[_IsLeaf]]=1),"",IF(Tasks[[#This Row],[_AlapShift]]=0,Tasks[[#This Row],[_LeafFcstStart]],WORKDAY.INTL(Tasks[[#This Row],[_LeafFcstStart]],Tasks[[#This Row],[_AlapShift]],WorkWeek,Holidays)))</f>
        <v/>
      </c>
      <c r="FC167" s="89" t="str">
        <f aca="false">IF(NOT(Tasks[[#This Row],[_IsLeaf]]=1),"",IF(Tasks[[#This Row],[_AlapShift]]=0,Tasks[[#This Row],[_LeafFcstFinish]],WORKDAY.INTL(Tasks[[#This Row],[_LeafFcstFinish]],Tasks[[#This Row],[_AlapShift]],WorkWeek,Holidays)))</f>
        <v/>
      </c>
      <c r="FD167" s="89" t="str">
        <f aca="false">IF(Tasks[[#This Row],[Task Name]]="","",IF(Tasks[[#This Row],[_IsSummary]],MIN(INDEX(Tasks[_ShownCalcStart],Tasks[[#This Row],[_Row]]+1):INDEX(Tasks[_ShownCalcStart],Tasks[[#This Row],[_Row]]+Tasks[[#This Row],[_Descendants]])),Tasks[[#This Row],[_ShownCalcStart]]))</f>
        <v/>
      </c>
      <c r="FE167" s="89" t="str">
        <f aca="false">IF(Tasks[[#This Row],[Task Name]]="","",IF(Tasks[[#This Row],[_IsSummary]],MAX(INDEX(Tasks[_ShownCalcFinish],Tasks[[#This Row],[_Row]]+1):INDEX(Tasks[_ShownCalcFinish],Tasks[[#This Row],[_Row]]+Tasks[[#This Row],[_Descendants]])),Tasks[[#This Row],[_ShownCalcFinish]]))</f>
        <v/>
      </c>
      <c r="FF1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7" s="42" t="n">
        <f aca="false">IF(AND(Tasks[[#This Row],[_IsLeaf]]=1,Tasks[[#This Row],[_LeafTotalWork]]&gt;0),NETWORKDAYS.INTL(ProjectStart,Tasks[[#This Row],[_ShownFcstStart]],WorkWeek,Holidays),0)</f>
        <v>0</v>
      </c>
      <c r="FS167" s="42" t="n">
        <f aca="false">IF(AND(Tasks[[#This Row],[_IsLeaf]]=1,Tasks[[#This Row],[_LeafTotalWork]]&gt;0),MAX(Tasks[[#This Row],[_StartWorkday]],NETWORKDAYS.INTL(ProjectStart,Tasks[[#This Row],[_ShownFcstFinish]],WorkWeek,Holidays)),0)</f>
        <v>0</v>
      </c>
      <c r="FT167" s="42" t="n">
        <f aca="false">IF(AND(Tasks[[#This Row],[_IsLeaf]]=1,Tasks[[#This Row],[_LeafTotalWork]]&gt;0),Tasks[[#This Row],[_LeafWork]]/(Tasks[[#This Row],[_FinishWorkday]]-Tasks[[#This Row],[_StartWorkday]]+1),0)</f>
        <v>0</v>
      </c>
      <c r="FU167" s="42" t="n">
        <f aca="false">Tasks[[#This Row],[_WorkPerWorkday]]*(Tasks[[#This Row],[_StartWorkday]]-1)</f>
        <v>-0</v>
      </c>
      <c r="FV167" s="42" t="n">
        <f aca="false">IF(Tasks[[#This Row],[_IsLeaf]]=1,MAX(N(Tasks[[#This Row],[_Days]]),0.1),0)</f>
        <v>0</v>
      </c>
      <c r="FW167" s="42" t="n">
        <f aca="false">Tasks[[#This Row],[_WeightDur]]*Tasks[[#This Row],[_LeafProgress]]</f>
        <v>0</v>
      </c>
      <c r="FX167" s="42" t="n">
        <f aca="false">Tasks[[#This Row],[_WeightDur]]*Tasks[[#This Row],[_PlannedPct]]</f>
        <v>0</v>
      </c>
      <c r="FY1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7" s="42" t="str">
        <f aca="false">IF(AND(Tasks[[#This Row],[_IsLeaf]]=1,N(Tasks[[#This Row],[_Days]])=0,Tasks[[#This Row],[_LeafProgress]]&lt;1),Tasks[[#This Row],[_ShownFcstFinish]]+Tasks[[#This Row],[_Row]]/100000,"")</f>
        <v/>
      </c>
      <c r="GA1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7" s="42" t="str">
        <f aca="false">IF(Tasks[[#This Row],[Task Name]]="","",LEFT(Tasks[[#This Row],[WBS]],FIND(".",Tasks[[#This Row],[WBS]]&amp;".")-1))</f>
        <v/>
      </c>
      <c r="GC167" s="42" t="str">
        <f aca="false">IF(AND(Tasks[[#This Row],[Task Name]]&lt;&gt;"",Tasks[[#This Row],[_Level]]=1),Tasks[[#This Row],[_Row]],"")</f>
        <v/>
      </c>
      <c r="GD167" s="42" t="str">
        <f aca="false">IF(AND(Tasks[[#This Row],[_IsLeaf]]=1,N(Tasks[[#This Row],[_Days]])=0),Tasks[[#This Row],[Planned Finish]]+Tasks[[#This Row],[_Row]]/100000,"")</f>
        <v/>
      </c>
      <c r="GE167" s="42" t="str">
        <f aca="false">IF(AND(Tasks[[#This Row],[_IsLeaf]]=1,Tasks[[#This Row],[_LeafProgress]]&lt;1,OR(N(Tasks[[#This Row],[Finish Var]])&gt;0,Tasks[[#This Row],[Status]]="Late Start")),MAX(0,Tasks[[#This Row],[Finish Var]])+1-Tasks[[#This Row],[_Row]]/1000000,"")</f>
        <v/>
      </c>
      <c r="GF167" s="42" t="str">
        <f aca="false">IF(AND(Tasks[[#This Row],[_IsLeaf]]=1,N(Tasks[[#This Row],[Actual Start]])=0,Tasks[[#This Row],[_ShownFcstStart]]&gt;=StatusDate,Tasks[[#This Row],[_ShownFcstStart]]&lt;=LookaheadEnd),Tasks[[#This Row],[_ShownFcstStart]]+Tasks[[#This Row],[_Row]]/100000,"")</f>
        <v/>
      </c>
      <c r="GG167" s="42" t="str">
        <f aca="false">IF(AND(Tasks[[#This Row],[_IsLeaf]]=1,Tasks[[#This Row],[_LeafProgress]]&lt;1,Tasks[[#This Row],[_ShownFcstFinish]]&gt;=StatusDate,Tasks[[#This Row],[_ShownFcstFinish]]&lt;=LookaheadEnd),Tasks[[#This Row],[_ShownFcstFinish]]+Tasks[[#This Row],[_Row]]/100000,"")</f>
        <v/>
      </c>
      <c r="GH167" s="42" t="str">
        <f aca="false">IF(Tasks[[#This Row],[_LeafCritical]],Tasks[[#This Row],[_ShownFcstStart]]+Tasks[[#This Row],[_Row]]/100000,"")</f>
        <v/>
      </c>
      <c r="GI167" s="42" t="n">
        <f aca="false">Tasks[[#This Row],[_LeafWork]]*Tasks[[#This Row],[_LeafProgress]]</f>
        <v>0</v>
      </c>
      <c r="GJ167" s="89" t="str">
        <f aca="false">IF(AND(Tasks[[#This Row],[_IsLeaf]]=1,Tasks[[#This Row],[_LeafProgress]]&gt;=1),IF(N(Tasks[[#This Row],[Actual Finish]])&gt;0,Tasks[[#This Row],[Actual Finish]],Tasks[[#This Row],[_ShownFcstFinish]]),"")</f>
        <v/>
      </c>
      <c r="GK167" s="42" t="n">
        <f aca="false">IF(Tasks[[#This Row],[_IsLeaf]]=1,N(Tasks[[#This Row],[Story Points]]),0)</f>
        <v>0</v>
      </c>
      <c r="GL167" s="42" t="str">
        <f aca="false">""</f>
        <v/>
      </c>
      <c r="GM167" s="88" t="b">
        <f aca="false">IF(Tasks[[#This Row],[Task Name]]="",FALSE(),AND(Tasks[[#This Row],[_IsLeaf]]=1,N(Tasks[[#This Row],[_Days]])=0))</f>
        <v>0</v>
      </c>
      <c r="GN167" s="89" t="n">
        <f aca="false">IF(Tasks[[#This Row],[Task Name]]="",0,IF(AND(Tasks[[#This Row],[_IsLeaf]]=1,NOT(Tasks[[#This Row],[_IsMilestone]]),N(Tasks[[#This Row],[Progress]])&gt;0),Tasks[[#This Row],[Start]],0))</f>
        <v>0</v>
      </c>
      <c r="GO167" s="89" t="n">
        <f aca="false">IF(Tasks[[#This Row],[_DoneFrom]]=0,0,IF(Tasks[[#This Row],[Progress]]&gt;=1,Tasks[[#This Row],[Finish]],MAX(Tasks[[#This Row],[_DoneFrom]],Tasks[[#This Row],[Start]]+ROUND((Tasks[[#This Row],[Finish]]-Tasks[[#This Row],[Start]]+1)*Tasks[[#This Row],[Progress]],0)-1)))</f>
        <v>0</v>
      </c>
      <c r="GP167" s="89" t="n">
        <f aca="false">IF(Tasks[[#This Row],[Task Name]]="",0,IF(OR(NOT(Tasks[[#This Row],[_IsLeaf]]=1),Tasks[[#This Row],[_IsMilestone]],N(Tasks[[#This Row],[Progress]])&gt;=1),0,IF(Tasks[[#This Row],[_DoneTo]]&gt;0,Tasks[[#This Row],[_DoneTo]]+1,Tasks[[#This Row],[Start]])))</f>
        <v>0</v>
      </c>
      <c r="GQ167" s="89" t="n">
        <f aca="false">IF(Tasks[[#This Row],[_RemFrom]]=0,0,Tasks[[#This Row],[Finish]])</f>
        <v>0</v>
      </c>
      <c r="GR167" s="88" t="b">
        <f aca="false">IF(Tasks[[#This Row],[Task Name]]="",FALSE(),OR(NOT(BaselineSet),N(Tasks[[#This Row],[Baseline Start]])&gt;0))</f>
        <v>0</v>
      </c>
      <c r="GS1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7" s="90" t="str">
        <f aca="false">IF(Tasks[[#This Row],[_IsLeaf]]=1,Tasks[[#This Row],[_Row]],"")</f>
        <v/>
      </c>
      <c r="GW167" s="90" t="str">
        <f aca="false">IFERROR(INDEX(Tasks[UID],SMALL(Tasks[_PickKey],Tasks[[#This Row],[_Row]]))&amp;" "&amp;INDEX(Tasks[Task Name],SMALL(Tasks[_PickKey],Tasks[[#This Row],[_Row]])),"")</f>
        <v/>
      </c>
      <c r="GX167" s="42" t="str">
        <f aca="false">IF(Tasks[[#This Row],[Task Name]]="","",IF(Tasks[[#This Row],[_IsSummary]],NETWORKDAYS.INTL(Tasks[[#This Row],[Start]],Tasks[[#This Row],[Finish]],WorkWeek,Holidays),N(Tasks[[#This Row],[_Days]])))</f>
        <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3"/>
      <c r="U168" s="23"/>
      <c r="V168" s="83"/>
      <c r="W168" s="23"/>
      <c r="X168" s="83"/>
      <c r="Y168" s="23"/>
      <c r="Z168" s="83"/>
      <c r="AA168" s="23"/>
      <c r="AB168" s="23"/>
      <c r="AC168" s="7"/>
      <c r="AD168" s="7"/>
      <c r="AE168" s="62" t="str">
        <f aca="false">IF(Tasks[[#This Row],[Task Name]]="","",IF(Tasks[[#This Row],[_IsSummary]],MIN(INDEX(Tasks[_ShownFcstStart],Tasks[[#This Row],[_Row]]+1):INDEX(Tasks[_ShownFcstStart],Tasks[[#This Row],[_Row]]+Tasks[[#This Row],[_Descendants]])),Tasks[[#This Row],[_ShownFcstStart]]))</f>
        <v/>
      </c>
      <c r="AF168" s="62"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8" s="7"/>
      <c r="AK168" s="22"/>
      <c r="AL168" s="23"/>
      <c r="AM168" s="7"/>
      <c r="AN168" s="46"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2" t="str">
        <f aca="false">IF(Tasks[[#This Row],[Task Name]]="","",IF(N(Tasks[[#This Row],[Baseline Start]])&gt;0,Tasks[[#This Row],[Baseline Start]],Tasks[[#This Row],[_CalcStart]]))</f>
        <v/>
      </c>
      <c r="AR168" s="62" t="str">
        <f aca="false">IF(Tasks[[#This Row],[Task Name]]="","",IF(N(Tasks[[#This Row],[Baseline Finish]])&gt;0,Tasks[[#This Row],[Baseline Finish]],Tasks[[#This Row],[_CalcFinish]]))</f>
        <v/>
      </c>
      <c r="AS168" s="46" t="str">
        <f aca="false">IF(Tasks[[#This Row],[Task Name]]="","",IF(Tasks[[#This Row],[Start]]&gt;=Tasks[[#This Row],[Planned Start]],NETWORKDAYS.INTL(Tasks[[#This Row],[Planned Start]],Tasks[[#This Row],[Start]],WorkWeek,Holidays)-1,1-NETWORKDAYS.INTL(Tasks[[#This Row],[Start]],Tasks[[#This Row],[Planned Start]],WorkWeek,Holidays)))</f>
        <v/>
      </c>
      <c r="AT168" s="62" t="str">
        <f aca="false">IF(Tasks[[#This Row],[Task Name]]="","",IF(Tasks[[#This Row],[_IsSummary]],MIN(INDEX(Tasks[_LeafLateStart],Tasks[[#This Row],[_Row]]+1):INDEX(Tasks[_LeafLateStart],Tasks[[#This Row],[_Row]]+Tasks[[#This Row],[_Descendants]])),Tasks[[#This Row],[_LeafLateStart]]))</f>
        <v/>
      </c>
      <c r="AU168" s="62" t="str">
        <f aca="false">IF(Tasks[[#This Row],[Task Name]]="","",IF(Tasks[[#This Row],[_IsSummary]],MAX(INDEX(Tasks[_LeafLateFinish],Tasks[[#This Row],[_Row]]+1):INDEX(Tasks[_LeafLateFinish],Tasks[[#This Row],[_Row]]+Tasks[[#This Row],[_Descendants]])),Tasks[[#This Row],[_LeafLateFinish]]))</f>
        <v/>
      </c>
      <c r="AV168" s="46"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4"/>
      <c r="BA1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5"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6"/>
      <c r="BJ168" s="22"/>
      <c r="BK168" s="46" t="str">
        <f aca="false">IF(OR(Tasks[[#This Row],[Task Name]]="",Tasks[[#This Row],[Baseline Duration]]=""),"",Tasks[[#This Row],[_SpanDays]]-N(Tasks[[#This Row],[Baseline Duration]]))</f>
        <v/>
      </c>
      <c r="BL168" s="85" t="str">
        <f aca="false">IF(OR(Tasks[[#This Row],[Task Name]]="",Tasks[[#This Row],[Baseline Work]]=""),"",Tasks[[#This Row],[Work]]-N(Tasks[[#This Row],[Baseline Work]]))</f>
        <v/>
      </c>
      <c r="BM168" s="62" t="str">
        <f aca="false">IF(Tasks[[#This Row],[Task Name]]="","",IF(OR(TakeBaseline="Yes",N(Tasks[[#This Row],[Baseline Start]])=0),Tasks[[#This Row],[Start]],Tasks[[#This Row],[Baseline Start]]))</f>
        <v/>
      </c>
      <c r="BN168" s="62"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5" t="str">
        <f aca="false">IF(Tasks[[#This Row],[Task Name]]="","",IF(OR(TakeBaseline="Yes",N(Tasks[[#This Row],[Baseline Work]])=0),Tasks[[#This Row],[Work]],Tasks[[#This Row],[Baseline Work]]))</f>
        <v/>
      </c>
      <c r="BQ168" s="7"/>
      <c r="BR168" s="7"/>
      <c r="BS168" s="22"/>
      <c r="BT168" s="87"/>
      <c r="BU168" s="42" t="str">
        <f aca="false">IF(Tasks[[#This Row],[Task Name]]="","",MAX(1,N(Tasks[[#This Row],[Level]])))</f>
        <v/>
      </c>
      <c r="BV168" s="42" t="n">
        <f aca="false">ROW()-ROW(Tasks[[#Headers],[ID]])</f>
        <v>163</v>
      </c>
      <c r="BW168" s="42" t="n">
        <f aca="false">IF(OR(Tasks[[#This Row],[Task Name]]="",Tasks[[#This Row],[_Level]]&lt;=1),0,IFERROR(LOOKUP(2,1/(Tasks[[#Headers],[_Level]]:Tasks[[#This Row],[_Level]]=Tasks[[#This Row],[_Level]]-1),ROW(Tasks[[#Headers],[_Level]]:Tasks[[#This Row],[_Level]])),0))</f>
        <v>0</v>
      </c>
      <c r="BX168" s="42" t="n">
        <f aca="false">IFERROR(N(INDEX(Tasks[_Level],Tasks[[#This Row],[_Row]]+1)),0)</f>
        <v>0</v>
      </c>
      <c r="BY168" s="88" t="b">
        <f aca="false">AND(Tasks[[#This Row],[Task Name]]&lt;&gt;"",Tasks[[#This Row],[_NextLevel]]&gt;Tasks[[#This Row],[_Level]])</f>
        <v>0</v>
      </c>
      <c r="BZ168" s="42" t="n">
        <f aca="false">IF(Tasks[[#This Row],[_IsSummary]],COUNTIF(Tasks[WBS],Tasks[[#This Row],[WBS]]&amp;".*"),0)</f>
        <v>0</v>
      </c>
      <c r="CA168" s="42" t="n">
        <f aca="false">IF(AND(Tasks[[#This Row],[Task Name]]&lt;&gt;"",NOT(Tasks[[#This Row],[_IsSummary]])),1,0)</f>
        <v>0</v>
      </c>
      <c r="CB168" s="42" t="n">
        <f aca="false">IF(N(Tasks[[#This Row],[_Pred1UID]])=0,0,IFERROR(MATCH(Tasks[[#This Row],[_Pred1UID]],Tasks[UID],0),-1))</f>
        <v>0</v>
      </c>
      <c r="CC168" s="42" t="n">
        <f aca="false">IF(N(Tasks[[#This Row],[_Pred2UID]])=0,0,IFERROR(MATCH(Tasks[[#This Row],[_Pred2UID]],Tasks[UID],0),-1))</f>
        <v>0</v>
      </c>
      <c r="CD168" s="42" t="n">
        <f aca="false">IF(N(Tasks[[#This Row],[_Pred3UID]])=0,0,IFERROR(MATCH(Tasks[[#This Row],[_Pred3UID]],Tasks[UID],0),-1))</f>
        <v>0</v>
      </c>
      <c r="CE168" s="42" t="n">
        <f aca="false">IF(N(Tasks[[#This Row],[_Pred4UID]])=0,0,IFERROR(MATCH(Tasks[[#This Row],[_Pred4UID]],Tasks[UID],0),-1))</f>
        <v>0</v>
      </c>
      <c r="CF1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8" s="89" t="n">
        <f aca="false">IF(OR(Tasks[[#This Row],[_ConstraintCode]]=2,Tasks[[#This Row],[_ConstraintCode]]=3,Tasks[[#This Row],[_ConstraintCode]]=4,Tasks[[#This Row],[_ConstraintCode]]=6),Tasks[[#This Row],[_ConstraintStart]],0)</f>
        <v>0</v>
      </c>
      <c r="CI168" s="89" t="n">
        <f aca="false">IF(OR(Tasks[[#This Row],[_ConstraintCode]]=2,Tasks[[#This Row],[_ConstraintCode]]=3,Tasks[[#This Row],[_ConstraintCode]]=5,Tasks[[#This Row],[_ConstraintCode]]=7),Tasks[[#This Row],[_ConstraintStart]],2958465)</f>
        <v>2958465</v>
      </c>
      <c r="CJ1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8" s="89" t="str">
        <f aca="false">IF(NOT(Tasks[[#This Row],[_IsLeaf]]=1),"",IF(N(Tasks[[#This Row],[_Days]])&lt;=0,Tasks[[#This Row],[_LeafCalcStart]],WORKDAY.INTL(Tasks[[#This Row],[_LeafCalcStart]],Tasks[[#This Row],[_Days]]-1,WorkWeek,Holidays)))</f>
        <v/>
      </c>
      <c r="CL1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8" s="42" t="str">
        <f aca="false">IF(Tasks[[#This Row],[_Predecessors]]="","",TRIM(MID(SUBSTITUTE(SUBSTITUTE(SUBSTITUTE(UPPER(Tasks[[#This Row],[_Predecessors]]),";",",")," ",""),",",REPT(" ",99)),1,99)))</f>
        <v/>
      </c>
      <c r="CO168" s="42" t="str">
        <f aca="false">IF(Tasks[[#This Row],[_Pred1Text]]="","",IFERROR(VALUE(LEFT(Tasks[[#This Row],[_Pred1Text]],MIN(FIND("F",Tasks[[#This Row],[_Pred1Text]]&amp;"F"),FIND("S",Tasks[[#This Row],[_Pred1Text]]&amp;"S"),FIND("+",Tasks[[#This Row],[_Pred1Text]]&amp;"+"),FIND("-",Tasks[[#This Row],[_Pred1Text]]&amp;"-"))-1)),""))</f>
        <v/>
      </c>
      <c r="CP1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8" s="42" t="str">
        <f aca="false">IF(Tasks[[#This Row],[_Pred1Text]]="","",TRIM(MID(SUBSTITUTE(SUBSTITUTE(SUBSTITUTE(UPPER(Tasks[[#This Row],[_Predecessors]]),";",",")," ",""),",",REPT(" ",99)),100,99)))</f>
        <v/>
      </c>
      <c r="CS168" s="42" t="str">
        <f aca="false">IF(Tasks[[#This Row],[_Pred2Text]]="","",IFERROR(VALUE(LEFT(Tasks[[#This Row],[_Pred2Text]],MIN(FIND("F",Tasks[[#This Row],[_Pred2Text]]&amp;"F"),FIND("S",Tasks[[#This Row],[_Pred2Text]]&amp;"S"),FIND("+",Tasks[[#This Row],[_Pred2Text]]&amp;"+"),FIND("-",Tasks[[#This Row],[_Pred2Text]]&amp;"-"))-1)),""))</f>
        <v/>
      </c>
      <c r="CT1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8" s="42" t="str">
        <f aca="false">IF(Tasks[[#This Row],[_Pred2Text]]="","",TRIM(MID(SUBSTITUTE(SUBSTITUTE(SUBSTITUTE(UPPER(Tasks[[#This Row],[_Predecessors]]),";",",")," ",""),",",REPT(" ",99)),199,99)))</f>
        <v/>
      </c>
      <c r="CW168" s="42" t="str">
        <f aca="false">IF(Tasks[[#This Row],[_Pred3Text]]="","",IFERROR(VALUE(LEFT(Tasks[[#This Row],[_Pred3Text]],MIN(FIND("F",Tasks[[#This Row],[_Pred3Text]]&amp;"F"),FIND("S",Tasks[[#This Row],[_Pred3Text]]&amp;"S"),FIND("+",Tasks[[#This Row],[_Pred3Text]]&amp;"+"),FIND("-",Tasks[[#This Row],[_Pred3Text]]&amp;"-"))-1)),""))</f>
        <v/>
      </c>
      <c r="CX1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8" s="42" t="str">
        <f aca="false">IF(Tasks[[#This Row],[_Pred3Text]]="","",TRIM(MID(SUBSTITUTE(SUBSTITUTE(SUBSTITUTE(UPPER(Tasks[[#This Row],[_Predecessors]]),";",",")," ",""),",",REPT(" ",99)),298,99)))</f>
        <v/>
      </c>
      <c r="DA168" s="42" t="str">
        <f aca="false">IF(Tasks[[#This Row],[_Pred4Text]]="","",IFERROR(VALUE(LEFT(Tasks[[#This Row],[_Pred4Text]],MIN(FIND("F",Tasks[[#This Row],[_Pred4Text]]&amp;"F"),FIND("S",Tasks[[#This Row],[_Pred4Text]]&amp;"S"),FIND("+",Tasks[[#This Row],[_Pred4Text]]&amp;"+"),FIND("-",Tasks[[#This Row],[_Pred4Text]]&amp;"-"))-1)),""))</f>
        <v/>
      </c>
      <c r="DB1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8" s="42" t="str">
        <f aca="false">IF(OR(Tasks[[#This Row],[Task Name]]="",Tasks[[#This Row],[_Resources]]=""),"",TRIM(MID(SUBSTITUTE(Tasks[[#This Row],[_Resources]],",",REPT(" ",99)),1,99)))</f>
        <v/>
      </c>
      <c r="DE168" s="42" t="str">
        <f aca="false">IF(Tasks[[#This Row],[_Res1Text]]="","",TRIM(MID(SUBSTITUTE(Tasks[[#This Row],[_Resources]],",",REPT(" ",99)),100,99)))</f>
        <v/>
      </c>
      <c r="DF168" s="42" t="str">
        <f aca="false">IF(Tasks[[#This Row],[_Res2Text]]="","",TRIM(MID(SUBSTITUTE(Tasks[[#This Row],[_Resources]],",",REPT(" ",99)),199,99)))</f>
        <v/>
      </c>
      <c r="DG168" s="42" t="str">
        <f aca="false">IF(Tasks[[#This Row],[_Res3Text]]="","",TRIM(MID(SUBSTITUTE(Tasks[[#This Row],[_Resources]],",",REPT(" ",99)),298,99)))</f>
        <v/>
      </c>
      <c r="DH168" s="42" t="n">
        <f aca="false">IF(Tasks[[#This Row],[_Res1Text]]="",0,IFERROR(MATCH(TRIM(LEFT(Tasks[[#This Row],[_Res1Text]],FIND("[",Tasks[[#This Row],[_Res1Text]]&amp;"[")-1)),res_Name,0),IFERROR(MATCH(TRIM(LEFT(Tasks[[#This Row],[_Res1Text]],FIND("[",Tasks[[#This Row],[_Res1Text]]&amp;"[")-1)),res_Initials,0),0)))</f>
        <v>0</v>
      </c>
      <c r="DI168" s="42" t="n">
        <f aca="false">IF(Tasks[[#This Row],[_Res2Text]]="",0,IFERROR(MATCH(TRIM(LEFT(Tasks[[#This Row],[_Res2Text]],FIND("[",Tasks[[#This Row],[_Res2Text]]&amp;"[")-1)),res_Name,0),IFERROR(MATCH(TRIM(LEFT(Tasks[[#This Row],[_Res2Text]],FIND("[",Tasks[[#This Row],[_Res2Text]]&amp;"[")-1)),res_Initials,0),0)))</f>
        <v>0</v>
      </c>
      <c r="DJ168" s="42" t="n">
        <f aca="false">IF(Tasks[[#This Row],[_Res3Text]]="",0,IFERROR(MATCH(TRIM(LEFT(Tasks[[#This Row],[_Res3Text]],FIND("[",Tasks[[#This Row],[_Res3Text]]&amp;"[")-1)),res_Name,0),IFERROR(MATCH(TRIM(LEFT(Tasks[[#This Row],[_Res3Text]],FIND("[",Tasks[[#This Row],[_Res3Text]]&amp;"[")-1)),res_Initials,0),0)))</f>
        <v>0</v>
      </c>
      <c r="DK168" s="42" t="n">
        <f aca="false">IF(Tasks[[#This Row],[_Res4Text]]="",0,IFERROR(MATCH(TRIM(LEFT(Tasks[[#This Row],[_Res4Text]],FIND("[",Tasks[[#This Row],[_Res4Text]]&amp;"[")-1)),res_Name,0),IFERROR(MATCH(TRIM(LEFT(Tasks[[#This Row],[_Res4Text]],FIND("[",Tasks[[#This Row],[_Res4Text]]&amp;"[")-1)),res_Initials,0),0)))</f>
        <v>0</v>
      </c>
      <c r="DL168" s="42" t="str">
        <f aca="false">IF(Tasks[[#This Row],[_Res1Text]]="","",IF(Tasks[[#This Row],[_Res1Row]]&gt;0,INDEX(res_Name,Tasks[[#This Row],[_Res1Row]]),TRIM(LEFT(Tasks[[#This Row],[_Res1Text]],FIND("[",Tasks[[#This Row],[_Res1Text]]&amp;"[")-1))))</f>
        <v/>
      </c>
      <c r="DM1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8" s="42" t="n">
        <f aca="false">IF(NOT(Tasks[[#This Row],[_IsLeaf]]=1),0,(Tasks[[#This Row],[_Resource1]]&lt;&gt;"")+(Tasks[[#This Row],[_Res2]]&lt;&gt;"")+(Tasks[[#This Row],[_Res3]]&lt;&gt;"")+(Tasks[[#This Row],[_Res4]]&lt;&gt;""))</f>
        <v>0</v>
      </c>
      <c r="DO168" s="42" t="str">
        <f aca="false">IF(Tasks[[#This Row],[_Res2Text]]="","",IF(Tasks[[#This Row],[_Res2Row]]&gt;0,INDEX(res_Name,Tasks[[#This Row],[_Res2Row]]),TRIM(LEFT(Tasks[[#This Row],[_Res2Text]],FIND("[",Tasks[[#This Row],[_Res2Text]]&amp;"[")-1))))</f>
        <v/>
      </c>
      <c r="DP1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8" s="42" t="n">
        <f aca="false">IF(OR(NOT(Tasks[[#This Row],[_IsLeaf]]=1),Tasks[[#This Row],[_Res2Row]]=0),0,N(Tasks[[#This Row],[_Days]])*HoursPerDay*IF(Tasks[[#This Row],[_Res2Units]]="",DefaultUnits,Tasks[[#This Row],[_Res2Units]]))</f>
        <v>0</v>
      </c>
      <c r="DR168" s="42" t="n">
        <f aca="false">IF(AND(AND(Tasks[[#This Row],[_IsLeaf]]=1,Tasks[[#This Row],[_LeafTotalWork]]&gt;0),Tasks[[#This Row],[_Res2Work]]&gt;0),Tasks[[#This Row],[_Res2Work]]/(Tasks[[#This Row],[_FinishWorkday]]-Tasks[[#This Row],[_StartWorkday]]+1),0)</f>
        <v>0</v>
      </c>
      <c r="DS168" s="42" t="n">
        <f aca="false">Tasks[[#This Row],[_Res2WorkPerWD]]*MAX(0,Tasks[[#This Row],[_StartWorkday]]-1)</f>
        <v>0</v>
      </c>
      <c r="DT168" s="42" t="n">
        <f aca="false">Tasks[[#This Row],[_Res2Work]]*Tasks[[#This Row],[_LeafProgress]]</f>
        <v>0</v>
      </c>
      <c r="DU168" s="42" t="str">
        <f aca="false">IF(Tasks[[#This Row],[_Res3Text]]="","",IF(Tasks[[#This Row],[_Res3Row]]&gt;0,INDEX(res_Name,Tasks[[#This Row],[_Res3Row]]),TRIM(LEFT(Tasks[[#This Row],[_Res3Text]],FIND("[",Tasks[[#This Row],[_Res3Text]]&amp;"[")-1))))</f>
        <v/>
      </c>
      <c r="DV1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8" s="42" t="n">
        <f aca="false">IF(OR(NOT(Tasks[[#This Row],[_IsLeaf]]=1),Tasks[[#This Row],[_Res3Row]]=0),0,N(Tasks[[#This Row],[_Days]])*HoursPerDay*IF(Tasks[[#This Row],[_Res3Units]]="",DefaultUnits,Tasks[[#This Row],[_Res3Units]]))</f>
        <v>0</v>
      </c>
      <c r="DX168" s="42" t="n">
        <f aca="false">IF(AND(AND(Tasks[[#This Row],[_IsLeaf]]=1,Tasks[[#This Row],[_LeafTotalWork]]&gt;0),Tasks[[#This Row],[_Res3Work]]&gt;0),Tasks[[#This Row],[_Res3Work]]/(Tasks[[#This Row],[_FinishWorkday]]-Tasks[[#This Row],[_StartWorkday]]+1),0)</f>
        <v>0</v>
      </c>
      <c r="DY168" s="42" t="n">
        <f aca="false">Tasks[[#This Row],[_Res3WorkPerWD]]*MAX(0,Tasks[[#This Row],[_StartWorkday]]-1)</f>
        <v>0</v>
      </c>
      <c r="DZ168" s="42" t="n">
        <f aca="false">Tasks[[#This Row],[_Res3Work]]*Tasks[[#This Row],[_LeafProgress]]</f>
        <v>0</v>
      </c>
      <c r="EA168" s="42" t="str">
        <f aca="false">IF(Tasks[[#This Row],[_Res4Text]]="","",IF(Tasks[[#This Row],[_Res4Row]]&gt;0,INDEX(res_Name,Tasks[[#This Row],[_Res4Row]]),TRIM(LEFT(Tasks[[#This Row],[_Res4Text]],FIND("[",Tasks[[#This Row],[_Res4Text]]&amp;"[")-1))))</f>
        <v/>
      </c>
      <c r="EB1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8" s="42" t="n">
        <f aca="false">IF(OR(NOT(Tasks[[#This Row],[_IsLeaf]]=1),Tasks[[#This Row],[_Res4Row]]=0),0,N(Tasks[[#This Row],[_Days]])*HoursPerDay*IF(Tasks[[#This Row],[_Res4Units]]="",DefaultUnits,Tasks[[#This Row],[_Res4Units]]))</f>
        <v>0</v>
      </c>
      <c r="ED168" s="42" t="n">
        <f aca="false">IF(AND(AND(Tasks[[#This Row],[_IsLeaf]]=1,Tasks[[#This Row],[_LeafTotalWork]]&gt;0),Tasks[[#This Row],[_Res4Work]]&gt;0),Tasks[[#This Row],[_Res4Work]]/(Tasks[[#This Row],[_FinishWorkday]]-Tasks[[#This Row],[_StartWorkday]]+1),0)</f>
        <v>0</v>
      </c>
      <c r="EE168" s="42" t="n">
        <f aca="false">Tasks[[#This Row],[_Res4WorkPerWD]]*MAX(0,Tasks[[#This Row],[_StartWorkday]]-1)</f>
        <v>0</v>
      </c>
      <c r="EF168" s="42" t="n">
        <f aca="false">Tasks[[#This Row],[_Res4Work]]*Tasks[[#This Row],[_LeafProgress]]</f>
        <v>0</v>
      </c>
      <c r="EG168" s="42" t="n">
        <f aca="false">IF(ISNUMBER(Tasks[[#This Row],[% Complete]]),Tasks[[#This Row],[% Complete]],IF(Tasks[[#This Row],[Stage]]="",0,IFERROR(INDEX(stg_Pct,MATCH(Tasks[[#This Row],[Stage]],stg_Name,0)),0)))</f>
        <v>0</v>
      </c>
      <c r="EH168" s="42" t="n">
        <f aca="false">IF(NOT(Tasks[[#This Row],[_IsLeaf]]=1),0,IF(N(Tasks[[#This Row],[Actual Finish]])&gt;0,1,MIN(1,Tasks[[#This Row],[_Pct]])))</f>
        <v>0</v>
      </c>
      <c r="EI168" s="42" t="n">
        <f aca="false">IF(OR(NOT(Tasks[[#This Row],[_IsLeaf]]=1),Tasks[[#This Row],[_Res1Row]]=0),0,N(Tasks[[#This Row],[_Days]])*HoursPerDay*IF(Tasks[[#This Row],[_Units1]]="",DefaultUnits,Tasks[[#This Row],[_Units1]]))</f>
        <v>0</v>
      </c>
      <c r="EJ168" s="42" t="n">
        <f aca="false">Tasks[[#This Row],[_LeafWork]]+Tasks[[#This Row],[_Res2Work]]+Tasks[[#This Row],[_Res3Work]]+Tasks[[#This Row],[_Res4Work]]</f>
        <v>0</v>
      </c>
      <c r="EK1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8" s="42" t="n">
        <f aca="false">IF(NOT(Tasks[[#This Row],[_IsLeaf]]=1),0,MAX(_xlfn.MAXIFS(Tasks[_Row],Tasks[_Pred1UID],Tasks[[#This Row],[UID]]),_xlfn.MAXIFS(Tasks[_Row],Tasks[_Pred2UID],Tasks[[#This Row],[UID]]),_xlfn.MAXIFS(Tasks[_Row],Tasks[_Pred3UID],Tasks[[#This Row],[UID]]),_xlfn.MAXIFS(Tasks[_Row],Tasks[_Pred4UID],Tasks[[#This Row],[UID]])))</f>
        <v>0</v>
      </c>
      <c r="ET1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8" s="89" t="str">
        <f aca="false">IF(NOT(Tasks[[#This Row],[_IsLeaf]]=1),"",IF(N(Tasks[[#This Row],[_Days]])&lt;=0,Tasks[[#This Row],[_LeafLateFinish]],WORKDAY.INTL(Tasks[[#This Row],[_LeafLateFinish]],-(Tasks[[#This Row],[_Days]]-1),WorkWeek,Holidays)))</f>
        <v/>
      </c>
      <c r="EW1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8" s="88" t="b">
        <f aca="false">AND(Tasks[[#This Row],[_IsLeaf]]=1,Tasks[[#This Row],[_LeafProgress]]&lt;1,N(Tasks[[#This Row],[_LeafTotalSlack]])&lt;=CriticalSlackDays)</f>
        <v>0</v>
      </c>
      <c r="EY168" s="42" t="n">
        <f aca="false">IF(AND(Tasks[[#This Row],[_IsLeaf]]=1,Tasks[[#This Row],[_ConstraintCode]]=1,Tasks[[#This Row],[Mode]]&lt;&gt;"Manual",N(Tasks[[#This Row],[Actual Start]])=0),MAX(0,N(Tasks[[#This Row],[Free Slack]])),0)</f>
        <v>0</v>
      </c>
      <c r="EZ168" s="89" t="str">
        <f aca="false">IF(NOT(Tasks[[#This Row],[_IsLeaf]]=1),"",IF(Tasks[[#This Row],[_AlapShift]]=0,Tasks[[#This Row],[_LeafCalcStart]],WORKDAY.INTL(Tasks[[#This Row],[_LeafCalcStart]],Tasks[[#This Row],[_AlapShift]],WorkWeek,Holidays)))</f>
        <v/>
      </c>
      <c r="FA168" s="89" t="str">
        <f aca="false">IF(NOT(Tasks[[#This Row],[_IsLeaf]]=1),"",IF(Tasks[[#This Row],[_AlapShift]]=0,Tasks[[#This Row],[_LeafCalcFinish]],WORKDAY.INTL(Tasks[[#This Row],[_LeafCalcFinish]],Tasks[[#This Row],[_AlapShift]],WorkWeek,Holidays)))</f>
        <v/>
      </c>
      <c r="FB168" s="89" t="str">
        <f aca="false">IF(NOT(Tasks[[#This Row],[_IsLeaf]]=1),"",IF(Tasks[[#This Row],[_AlapShift]]=0,Tasks[[#This Row],[_LeafFcstStart]],WORKDAY.INTL(Tasks[[#This Row],[_LeafFcstStart]],Tasks[[#This Row],[_AlapShift]],WorkWeek,Holidays)))</f>
        <v/>
      </c>
      <c r="FC168" s="89" t="str">
        <f aca="false">IF(NOT(Tasks[[#This Row],[_IsLeaf]]=1),"",IF(Tasks[[#This Row],[_AlapShift]]=0,Tasks[[#This Row],[_LeafFcstFinish]],WORKDAY.INTL(Tasks[[#This Row],[_LeafFcstFinish]],Tasks[[#This Row],[_AlapShift]],WorkWeek,Holidays)))</f>
        <v/>
      </c>
      <c r="FD168" s="89" t="str">
        <f aca="false">IF(Tasks[[#This Row],[Task Name]]="","",IF(Tasks[[#This Row],[_IsSummary]],MIN(INDEX(Tasks[_ShownCalcStart],Tasks[[#This Row],[_Row]]+1):INDEX(Tasks[_ShownCalcStart],Tasks[[#This Row],[_Row]]+Tasks[[#This Row],[_Descendants]])),Tasks[[#This Row],[_ShownCalcStart]]))</f>
        <v/>
      </c>
      <c r="FE168" s="89" t="str">
        <f aca="false">IF(Tasks[[#This Row],[Task Name]]="","",IF(Tasks[[#This Row],[_IsSummary]],MAX(INDEX(Tasks[_ShownCalcFinish],Tasks[[#This Row],[_Row]]+1):INDEX(Tasks[_ShownCalcFinish],Tasks[[#This Row],[_Row]]+Tasks[[#This Row],[_Descendants]])),Tasks[[#This Row],[_ShownCalcFinish]]))</f>
        <v/>
      </c>
      <c r="FF1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8" s="42" t="n">
        <f aca="false">IF(AND(Tasks[[#This Row],[_IsLeaf]]=1,Tasks[[#This Row],[_LeafTotalWork]]&gt;0),NETWORKDAYS.INTL(ProjectStart,Tasks[[#This Row],[_ShownFcstStart]],WorkWeek,Holidays),0)</f>
        <v>0</v>
      </c>
      <c r="FS168" s="42" t="n">
        <f aca="false">IF(AND(Tasks[[#This Row],[_IsLeaf]]=1,Tasks[[#This Row],[_LeafTotalWork]]&gt;0),MAX(Tasks[[#This Row],[_StartWorkday]],NETWORKDAYS.INTL(ProjectStart,Tasks[[#This Row],[_ShownFcstFinish]],WorkWeek,Holidays)),0)</f>
        <v>0</v>
      </c>
      <c r="FT168" s="42" t="n">
        <f aca="false">IF(AND(Tasks[[#This Row],[_IsLeaf]]=1,Tasks[[#This Row],[_LeafTotalWork]]&gt;0),Tasks[[#This Row],[_LeafWork]]/(Tasks[[#This Row],[_FinishWorkday]]-Tasks[[#This Row],[_StartWorkday]]+1),0)</f>
        <v>0</v>
      </c>
      <c r="FU168" s="42" t="n">
        <f aca="false">Tasks[[#This Row],[_WorkPerWorkday]]*(Tasks[[#This Row],[_StartWorkday]]-1)</f>
        <v>-0</v>
      </c>
      <c r="FV168" s="42" t="n">
        <f aca="false">IF(Tasks[[#This Row],[_IsLeaf]]=1,MAX(N(Tasks[[#This Row],[_Days]]),0.1),0)</f>
        <v>0</v>
      </c>
      <c r="FW168" s="42" t="n">
        <f aca="false">Tasks[[#This Row],[_WeightDur]]*Tasks[[#This Row],[_LeafProgress]]</f>
        <v>0</v>
      </c>
      <c r="FX168" s="42" t="n">
        <f aca="false">Tasks[[#This Row],[_WeightDur]]*Tasks[[#This Row],[_PlannedPct]]</f>
        <v>0</v>
      </c>
      <c r="FY1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8" s="42" t="str">
        <f aca="false">IF(AND(Tasks[[#This Row],[_IsLeaf]]=1,N(Tasks[[#This Row],[_Days]])=0,Tasks[[#This Row],[_LeafProgress]]&lt;1),Tasks[[#This Row],[_ShownFcstFinish]]+Tasks[[#This Row],[_Row]]/100000,"")</f>
        <v/>
      </c>
      <c r="GA1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8" s="42" t="str">
        <f aca="false">IF(Tasks[[#This Row],[Task Name]]="","",LEFT(Tasks[[#This Row],[WBS]],FIND(".",Tasks[[#This Row],[WBS]]&amp;".")-1))</f>
        <v/>
      </c>
      <c r="GC168" s="42" t="str">
        <f aca="false">IF(AND(Tasks[[#This Row],[Task Name]]&lt;&gt;"",Tasks[[#This Row],[_Level]]=1),Tasks[[#This Row],[_Row]],"")</f>
        <v/>
      </c>
      <c r="GD168" s="42" t="str">
        <f aca="false">IF(AND(Tasks[[#This Row],[_IsLeaf]]=1,N(Tasks[[#This Row],[_Days]])=0),Tasks[[#This Row],[Planned Finish]]+Tasks[[#This Row],[_Row]]/100000,"")</f>
        <v/>
      </c>
      <c r="GE168" s="42" t="str">
        <f aca="false">IF(AND(Tasks[[#This Row],[_IsLeaf]]=1,Tasks[[#This Row],[_LeafProgress]]&lt;1,OR(N(Tasks[[#This Row],[Finish Var]])&gt;0,Tasks[[#This Row],[Status]]="Late Start")),MAX(0,Tasks[[#This Row],[Finish Var]])+1-Tasks[[#This Row],[_Row]]/1000000,"")</f>
        <v/>
      </c>
      <c r="GF168" s="42" t="str">
        <f aca="false">IF(AND(Tasks[[#This Row],[_IsLeaf]]=1,N(Tasks[[#This Row],[Actual Start]])=0,Tasks[[#This Row],[_ShownFcstStart]]&gt;=StatusDate,Tasks[[#This Row],[_ShownFcstStart]]&lt;=LookaheadEnd),Tasks[[#This Row],[_ShownFcstStart]]+Tasks[[#This Row],[_Row]]/100000,"")</f>
        <v/>
      </c>
      <c r="GG168" s="42" t="str">
        <f aca="false">IF(AND(Tasks[[#This Row],[_IsLeaf]]=1,Tasks[[#This Row],[_LeafProgress]]&lt;1,Tasks[[#This Row],[_ShownFcstFinish]]&gt;=StatusDate,Tasks[[#This Row],[_ShownFcstFinish]]&lt;=LookaheadEnd),Tasks[[#This Row],[_ShownFcstFinish]]+Tasks[[#This Row],[_Row]]/100000,"")</f>
        <v/>
      </c>
      <c r="GH168" s="42" t="str">
        <f aca="false">IF(Tasks[[#This Row],[_LeafCritical]],Tasks[[#This Row],[_ShownFcstStart]]+Tasks[[#This Row],[_Row]]/100000,"")</f>
        <v/>
      </c>
      <c r="GI168" s="42" t="n">
        <f aca="false">Tasks[[#This Row],[_LeafWork]]*Tasks[[#This Row],[_LeafProgress]]</f>
        <v>0</v>
      </c>
      <c r="GJ168" s="89" t="str">
        <f aca="false">IF(AND(Tasks[[#This Row],[_IsLeaf]]=1,Tasks[[#This Row],[_LeafProgress]]&gt;=1),IF(N(Tasks[[#This Row],[Actual Finish]])&gt;0,Tasks[[#This Row],[Actual Finish]],Tasks[[#This Row],[_ShownFcstFinish]]),"")</f>
        <v/>
      </c>
      <c r="GK168" s="42" t="n">
        <f aca="false">IF(Tasks[[#This Row],[_IsLeaf]]=1,N(Tasks[[#This Row],[Story Points]]),0)</f>
        <v>0</v>
      </c>
      <c r="GL168" s="42" t="str">
        <f aca="false">""</f>
        <v/>
      </c>
      <c r="GM168" s="88" t="b">
        <f aca="false">IF(Tasks[[#This Row],[Task Name]]="",FALSE(),AND(Tasks[[#This Row],[_IsLeaf]]=1,N(Tasks[[#This Row],[_Days]])=0))</f>
        <v>0</v>
      </c>
      <c r="GN168" s="89" t="n">
        <f aca="false">IF(Tasks[[#This Row],[Task Name]]="",0,IF(AND(Tasks[[#This Row],[_IsLeaf]]=1,NOT(Tasks[[#This Row],[_IsMilestone]]),N(Tasks[[#This Row],[Progress]])&gt;0),Tasks[[#This Row],[Start]],0))</f>
        <v>0</v>
      </c>
      <c r="GO168" s="89" t="n">
        <f aca="false">IF(Tasks[[#This Row],[_DoneFrom]]=0,0,IF(Tasks[[#This Row],[Progress]]&gt;=1,Tasks[[#This Row],[Finish]],MAX(Tasks[[#This Row],[_DoneFrom]],Tasks[[#This Row],[Start]]+ROUND((Tasks[[#This Row],[Finish]]-Tasks[[#This Row],[Start]]+1)*Tasks[[#This Row],[Progress]],0)-1)))</f>
        <v>0</v>
      </c>
      <c r="GP168" s="89" t="n">
        <f aca="false">IF(Tasks[[#This Row],[Task Name]]="",0,IF(OR(NOT(Tasks[[#This Row],[_IsLeaf]]=1),Tasks[[#This Row],[_IsMilestone]],N(Tasks[[#This Row],[Progress]])&gt;=1),0,IF(Tasks[[#This Row],[_DoneTo]]&gt;0,Tasks[[#This Row],[_DoneTo]]+1,Tasks[[#This Row],[Start]])))</f>
        <v>0</v>
      </c>
      <c r="GQ168" s="89" t="n">
        <f aca="false">IF(Tasks[[#This Row],[_RemFrom]]=0,0,Tasks[[#This Row],[Finish]])</f>
        <v>0</v>
      </c>
      <c r="GR168" s="88" t="b">
        <f aca="false">IF(Tasks[[#This Row],[Task Name]]="",FALSE(),OR(NOT(BaselineSet),N(Tasks[[#This Row],[Baseline Start]])&gt;0))</f>
        <v>0</v>
      </c>
      <c r="GS1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8" s="90" t="str">
        <f aca="false">IF(Tasks[[#This Row],[_IsLeaf]]=1,Tasks[[#This Row],[_Row]],"")</f>
        <v/>
      </c>
      <c r="GW168" s="90" t="str">
        <f aca="false">IFERROR(INDEX(Tasks[UID],SMALL(Tasks[_PickKey],Tasks[[#This Row],[_Row]]))&amp;" "&amp;INDEX(Tasks[Task Name],SMALL(Tasks[_PickKey],Tasks[[#This Row],[_Row]])),"")</f>
        <v/>
      </c>
      <c r="GX168" s="42" t="str">
        <f aca="false">IF(Tasks[[#This Row],[Task Name]]="","",IF(Tasks[[#This Row],[_IsSummary]],NETWORKDAYS.INTL(Tasks[[#This Row],[Start]],Tasks[[#This Row],[Finish]],WorkWeek,Holidays),N(Tasks[[#This Row],[_Days]])))</f>
        <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3"/>
      <c r="U169" s="23"/>
      <c r="V169" s="83"/>
      <c r="W169" s="23"/>
      <c r="X169" s="83"/>
      <c r="Y169" s="23"/>
      <c r="Z169" s="83"/>
      <c r="AA169" s="23"/>
      <c r="AB169" s="23"/>
      <c r="AC169" s="7"/>
      <c r="AD169" s="7"/>
      <c r="AE169" s="62" t="str">
        <f aca="false">IF(Tasks[[#This Row],[Task Name]]="","",IF(Tasks[[#This Row],[_IsSummary]],MIN(INDEX(Tasks[_ShownFcstStart],Tasks[[#This Row],[_Row]]+1):INDEX(Tasks[_ShownFcstStart],Tasks[[#This Row],[_Row]]+Tasks[[#This Row],[_Descendants]])),Tasks[[#This Row],[_ShownFcstStart]]))</f>
        <v/>
      </c>
      <c r="AF169" s="62"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9" s="7"/>
      <c r="AK169" s="22"/>
      <c r="AL169" s="23"/>
      <c r="AM169" s="7"/>
      <c r="AN169" s="46"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2" t="str">
        <f aca="false">IF(Tasks[[#This Row],[Task Name]]="","",IF(N(Tasks[[#This Row],[Baseline Start]])&gt;0,Tasks[[#This Row],[Baseline Start]],Tasks[[#This Row],[_CalcStart]]))</f>
        <v/>
      </c>
      <c r="AR169" s="62" t="str">
        <f aca="false">IF(Tasks[[#This Row],[Task Name]]="","",IF(N(Tasks[[#This Row],[Baseline Finish]])&gt;0,Tasks[[#This Row],[Baseline Finish]],Tasks[[#This Row],[_CalcFinish]]))</f>
        <v/>
      </c>
      <c r="AS169" s="46" t="str">
        <f aca="false">IF(Tasks[[#This Row],[Task Name]]="","",IF(Tasks[[#This Row],[Start]]&gt;=Tasks[[#This Row],[Planned Start]],NETWORKDAYS.INTL(Tasks[[#This Row],[Planned Start]],Tasks[[#This Row],[Start]],WorkWeek,Holidays)-1,1-NETWORKDAYS.INTL(Tasks[[#This Row],[Start]],Tasks[[#This Row],[Planned Start]],WorkWeek,Holidays)))</f>
        <v/>
      </c>
      <c r="AT169" s="62" t="str">
        <f aca="false">IF(Tasks[[#This Row],[Task Name]]="","",IF(Tasks[[#This Row],[_IsSummary]],MIN(INDEX(Tasks[_LeafLateStart],Tasks[[#This Row],[_Row]]+1):INDEX(Tasks[_LeafLateStart],Tasks[[#This Row],[_Row]]+Tasks[[#This Row],[_Descendants]])),Tasks[[#This Row],[_LeafLateStart]]))</f>
        <v/>
      </c>
      <c r="AU169" s="62" t="str">
        <f aca="false">IF(Tasks[[#This Row],[Task Name]]="","",IF(Tasks[[#This Row],[_IsSummary]],MAX(INDEX(Tasks[_LeafLateFinish],Tasks[[#This Row],[_Row]]+1):INDEX(Tasks[_LeafLateFinish],Tasks[[#This Row],[_Row]]+Tasks[[#This Row],[_Descendants]])),Tasks[[#This Row],[_LeafLateFinish]]))</f>
        <v/>
      </c>
      <c r="AV169" s="46"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4"/>
      <c r="BA1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5"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6"/>
      <c r="BJ169" s="22"/>
      <c r="BK169" s="46" t="str">
        <f aca="false">IF(OR(Tasks[[#This Row],[Task Name]]="",Tasks[[#This Row],[Baseline Duration]]=""),"",Tasks[[#This Row],[_SpanDays]]-N(Tasks[[#This Row],[Baseline Duration]]))</f>
        <v/>
      </c>
      <c r="BL169" s="85" t="str">
        <f aca="false">IF(OR(Tasks[[#This Row],[Task Name]]="",Tasks[[#This Row],[Baseline Work]]=""),"",Tasks[[#This Row],[Work]]-N(Tasks[[#This Row],[Baseline Work]]))</f>
        <v/>
      </c>
      <c r="BM169" s="62" t="str">
        <f aca="false">IF(Tasks[[#This Row],[Task Name]]="","",IF(OR(TakeBaseline="Yes",N(Tasks[[#This Row],[Baseline Start]])=0),Tasks[[#This Row],[Start]],Tasks[[#This Row],[Baseline Start]]))</f>
        <v/>
      </c>
      <c r="BN169" s="62"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5" t="str">
        <f aca="false">IF(Tasks[[#This Row],[Task Name]]="","",IF(OR(TakeBaseline="Yes",N(Tasks[[#This Row],[Baseline Work]])=0),Tasks[[#This Row],[Work]],Tasks[[#This Row],[Baseline Work]]))</f>
        <v/>
      </c>
      <c r="BQ169" s="7"/>
      <c r="BR169" s="7"/>
      <c r="BS169" s="22"/>
      <c r="BT169" s="87"/>
      <c r="BU169" s="42" t="str">
        <f aca="false">IF(Tasks[[#This Row],[Task Name]]="","",MAX(1,N(Tasks[[#This Row],[Level]])))</f>
        <v/>
      </c>
      <c r="BV169" s="42" t="n">
        <f aca="false">ROW()-ROW(Tasks[[#Headers],[ID]])</f>
        <v>164</v>
      </c>
      <c r="BW169" s="42" t="n">
        <f aca="false">IF(OR(Tasks[[#This Row],[Task Name]]="",Tasks[[#This Row],[_Level]]&lt;=1),0,IFERROR(LOOKUP(2,1/(Tasks[[#Headers],[_Level]]:Tasks[[#This Row],[_Level]]=Tasks[[#This Row],[_Level]]-1),ROW(Tasks[[#Headers],[_Level]]:Tasks[[#This Row],[_Level]])),0))</f>
        <v>0</v>
      </c>
      <c r="BX169" s="42" t="n">
        <f aca="false">IFERROR(N(INDEX(Tasks[_Level],Tasks[[#This Row],[_Row]]+1)),0)</f>
        <v>0</v>
      </c>
      <c r="BY169" s="88" t="b">
        <f aca="false">AND(Tasks[[#This Row],[Task Name]]&lt;&gt;"",Tasks[[#This Row],[_NextLevel]]&gt;Tasks[[#This Row],[_Level]])</f>
        <v>0</v>
      </c>
      <c r="BZ169" s="42" t="n">
        <f aca="false">IF(Tasks[[#This Row],[_IsSummary]],COUNTIF(Tasks[WBS],Tasks[[#This Row],[WBS]]&amp;".*"),0)</f>
        <v>0</v>
      </c>
      <c r="CA169" s="42" t="n">
        <f aca="false">IF(AND(Tasks[[#This Row],[Task Name]]&lt;&gt;"",NOT(Tasks[[#This Row],[_IsSummary]])),1,0)</f>
        <v>0</v>
      </c>
      <c r="CB169" s="42" t="n">
        <f aca="false">IF(N(Tasks[[#This Row],[_Pred1UID]])=0,0,IFERROR(MATCH(Tasks[[#This Row],[_Pred1UID]],Tasks[UID],0),-1))</f>
        <v>0</v>
      </c>
      <c r="CC169" s="42" t="n">
        <f aca="false">IF(N(Tasks[[#This Row],[_Pred2UID]])=0,0,IFERROR(MATCH(Tasks[[#This Row],[_Pred2UID]],Tasks[UID],0),-1))</f>
        <v>0</v>
      </c>
      <c r="CD169" s="42" t="n">
        <f aca="false">IF(N(Tasks[[#This Row],[_Pred3UID]])=0,0,IFERROR(MATCH(Tasks[[#This Row],[_Pred3UID]],Tasks[UID],0),-1))</f>
        <v>0</v>
      </c>
      <c r="CE169" s="42" t="n">
        <f aca="false">IF(N(Tasks[[#This Row],[_Pred4UID]])=0,0,IFERROR(MATCH(Tasks[[#This Row],[_Pred4UID]],Tasks[UID],0),-1))</f>
        <v>0</v>
      </c>
      <c r="CF1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9" s="89" t="n">
        <f aca="false">IF(OR(Tasks[[#This Row],[_ConstraintCode]]=2,Tasks[[#This Row],[_ConstraintCode]]=3,Tasks[[#This Row],[_ConstraintCode]]=4,Tasks[[#This Row],[_ConstraintCode]]=6),Tasks[[#This Row],[_ConstraintStart]],0)</f>
        <v>0</v>
      </c>
      <c r="CI169" s="89" t="n">
        <f aca="false">IF(OR(Tasks[[#This Row],[_ConstraintCode]]=2,Tasks[[#This Row],[_ConstraintCode]]=3,Tasks[[#This Row],[_ConstraintCode]]=5,Tasks[[#This Row],[_ConstraintCode]]=7),Tasks[[#This Row],[_ConstraintStart]],2958465)</f>
        <v>2958465</v>
      </c>
      <c r="CJ1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9" s="89" t="str">
        <f aca="false">IF(NOT(Tasks[[#This Row],[_IsLeaf]]=1),"",IF(N(Tasks[[#This Row],[_Days]])&lt;=0,Tasks[[#This Row],[_LeafCalcStart]],WORKDAY.INTL(Tasks[[#This Row],[_LeafCalcStart]],Tasks[[#This Row],[_Days]]-1,WorkWeek,Holidays)))</f>
        <v/>
      </c>
      <c r="CL1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9" s="42" t="str">
        <f aca="false">IF(Tasks[[#This Row],[_Predecessors]]="","",TRIM(MID(SUBSTITUTE(SUBSTITUTE(SUBSTITUTE(UPPER(Tasks[[#This Row],[_Predecessors]]),";",",")," ",""),",",REPT(" ",99)),1,99)))</f>
        <v/>
      </c>
      <c r="CO169" s="42" t="str">
        <f aca="false">IF(Tasks[[#This Row],[_Pred1Text]]="","",IFERROR(VALUE(LEFT(Tasks[[#This Row],[_Pred1Text]],MIN(FIND("F",Tasks[[#This Row],[_Pred1Text]]&amp;"F"),FIND("S",Tasks[[#This Row],[_Pred1Text]]&amp;"S"),FIND("+",Tasks[[#This Row],[_Pred1Text]]&amp;"+"),FIND("-",Tasks[[#This Row],[_Pred1Text]]&amp;"-"))-1)),""))</f>
        <v/>
      </c>
      <c r="CP1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9" s="42" t="str">
        <f aca="false">IF(Tasks[[#This Row],[_Pred1Text]]="","",TRIM(MID(SUBSTITUTE(SUBSTITUTE(SUBSTITUTE(UPPER(Tasks[[#This Row],[_Predecessors]]),";",",")," ",""),",",REPT(" ",99)),100,99)))</f>
        <v/>
      </c>
      <c r="CS169" s="42" t="str">
        <f aca="false">IF(Tasks[[#This Row],[_Pred2Text]]="","",IFERROR(VALUE(LEFT(Tasks[[#This Row],[_Pred2Text]],MIN(FIND("F",Tasks[[#This Row],[_Pred2Text]]&amp;"F"),FIND("S",Tasks[[#This Row],[_Pred2Text]]&amp;"S"),FIND("+",Tasks[[#This Row],[_Pred2Text]]&amp;"+"),FIND("-",Tasks[[#This Row],[_Pred2Text]]&amp;"-"))-1)),""))</f>
        <v/>
      </c>
      <c r="CT1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9" s="42" t="str">
        <f aca="false">IF(Tasks[[#This Row],[_Pred2Text]]="","",TRIM(MID(SUBSTITUTE(SUBSTITUTE(SUBSTITUTE(UPPER(Tasks[[#This Row],[_Predecessors]]),";",",")," ",""),",",REPT(" ",99)),199,99)))</f>
        <v/>
      </c>
      <c r="CW169" s="42" t="str">
        <f aca="false">IF(Tasks[[#This Row],[_Pred3Text]]="","",IFERROR(VALUE(LEFT(Tasks[[#This Row],[_Pred3Text]],MIN(FIND("F",Tasks[[#This Row],[_Pred3Text]]&amp;"F"),FIND("S",Tasks[[#This Row],[_Pred3Text]]&amp;"S"),FIND("+",Tasks[[#This Row],[_Pred3Text]]&amp;"+"),FIND("-",Tasks[[#This Row],[_Pred3Text]]&amp;"-"))-1)),""))</f>
        <v/>
      </c>
      <c r="CX1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9" s="42" t="str">
        <f aca="false">IF(Tasks[[#This Row],[_Pred3Text]]="","",TRIM(MID(SUBSTITUTE(SUBSTITUTE(SUBSTITUTE(UPPER(Tasks[[#This Row],[_Predecessors]]),";",",")," ",""),",",REPT(" ",99)),298,99)))</f>
        <v/>
      </c>
      <c r="DA169" s="42" t="str">
        <f aca="false">IF(Tasks[[#This Row],[_Pred4Text]]="","",IFERROR(VALUE(LEFT(Tasks[[#This Row],[_Pred4Text]],MIN(FIND("F",Tasks[[#This Row],[_Pred4Text]]&amp;"F"),FIND("S",Tasks[[#This Row],[_Pred4Text]]&amp;"S"),FIND("+",Tasks[[#This Row],[_Pred4Text]]&amp;"+"),FIND("-",Tasks[[#This Row],[_Pred4Text]]&amp;"-"))-1)),""))</f>
        <v/>
      </c>
      <c r="DB1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9" s="42" t="str">
        <f aca="false">IF(OR(Tasks[[#This Row],[Task Name]]="",Tasks[[#This Row],[_Resources]]=""),"",TRIM(MID(SUBSTITUTE(Tasks[[#This Row],[_Resources]],",",REPT(" ",99)),1,99)))</f>
        <v/>
      </c>
      <c r="DE169" s="42" t="str">
        <f aca="false">IF(Tasks[[#This Row],[_Res1Text]]="","",TRIM(MID(SUBSTITUTE(Tasks[[#This Row],[_Resources]],",",REPT(" ",99)),100,99)))</f>
        <v/>
      </c>
      <c r="DF169" s="42" t="str">
        <f aca="false">IF(Tasks[[#This Row],[_Res2Text]]="","",TRIM(MID(SUBSTITUTE(Tasks[[#This Row],[_Resources]],",",REPT(" ",99)),199,99)))</f>
        <v/>
      </c>
      <c r="DG169" s="42" t="str">
        <f aca="false">IF(Tasks[[#This Row],[_Res3Text]]="","",TRIM(MID(SUBSTITUTE(Tasks[[#This Row],[_Resources]],",",REPT(" ",99)),298,99)))</f>
        <v/>
      </c>
      <c r="DH169" s="42" t="n">
        <f aca="false">IF(Tasks[[#This Row],[_Res1Text]]="",0,IFERROR(MATCH(TRIM(LEFT(Tasks[[#This Row],[_Res1Text]],FIND("[",Tasks[[#This Row],[_Res1Text]]&amp;"[")-1)),res_Name,0),IFERROR(MATCH(TRIM(LEFT(Tasks[[#This Row],[_Res1Text]],FIND("[",Tasks[[#This Row],[_Res1Text]]&amp;"[")-1)),res_Initials,0),0)))</f>
        <v>0</v>
      </c>
      <c r="DI169" s="42" t="n">
        <f aca="false">IF(Tasks[[#This Row],[_Res2Text]]="",0,IFERROR(MATCH(TRIM(LEFT(Tasks[[#This Row],[_Res2Text]],FIND("[",Tasks[[#This Row],[_Res2Text]]&amp;"[")-1)),res_Name,0),IFERROR(MATCH(TRIM(LEFT(Tasks[[#This Row],[_Res2Text]],FIND("[",Tasks[[#This Row],[_Res2Text]]&amp;"[")-1)),res_Initials,0),0)))</f>
        <v>0</v>
      </c>
      <c r="DJ169" s="42" t="n">
        <f aca="false">IF(Tasks[[#This Row],[_Res3Text]]="",0,IFERROR(MATCH(TRIM(LEFT(Tasks[[#This Row],[_Res3Text]],FIND("[",Tasks[[#This Row],[_Res3Text]]&amp;"[")-1)),res_Name,0),IFERROR(MATCH(TRIM(LEFT(Tasks[[#This Row],[_Res3Text]],FIND("[",Tasks[[#This Row],[_Res3Text]]&amp;"[")-1)),res_Initials,0),0)))</f>
        <v>0</v>
      </c>
      <c r="DK169" s="42" t="n">
        <f aca="false">IF(Tasks[[#This Row],[_Res4Text]]="",0,IFERROR(MATCH(TRIM(LEFT(Tasks[[#This Row],[_Res4Text]],FIND("[",Tasks[[#This Row],[_Res4Text]]&amp;"[")-1)),res_Name,0),IFERROR(MATCH(TRIM(LEFT(Tasks[[#This Row],[_Res4Text]],FIND("[",Tasks[[#This Row],[_Res4Text]]&amp;"[")-1)),res_Initials,0),0)))</f>
        <v>0</v>
      </c>
      <c r="DL169" s="42" t="str">
        <f aca="false">IF(Tasks[[#This Row],[_Res1Text]]="","",IF(Tasks[[#This Row],[_Res1Row]]&gt;0,INDEX(res_Name,Tasks[[#This Row],[_Res1Row]]),TRIM(LEFT(Tasks[[#This Row],[_Res1Text]],FIND("[",Tasks[[#This Row],[_Res1Text]]&amp;"[")-1))))</f>
        <v/>
      </c>
      <c r="DM1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9" s="42" t="n">
        <f aca="false">IF(NOT(Tasks[[#This Row],[_IsLeaf]]=1),0,(Tasks[[#This Row],[_Resource1]]&lt;&gt;"")+(Tasks[[#This Row],[_Res2]]&lt;&gt;"")+(Tasks[[#This Row],[_Res3]]&lt;&gt;"")+(Tasks[[#This Row],[_Res4]]&lt;&gt;""))</f>
        <v>0</v>
      </c>
      <c r="DO169" s="42" t="str">
        <f aca="false">IF(Tasks[[#This Row],[_Res2Text]]="","",IF(Tasks[[#This Row],[_Res2Row]]&gt;0,INDEX(res_Name,Tasks[[#This Row],[_Res2Row]]),TRIM(LEFT(Tasks[[#This Row],[_Res2Text]],FIND("[",Tasks[[#This Row],[_Res2Text]]&amp;"[")-1))))</f>
        <v/>
      </c>
      <c r="DP1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9" s="42" t="n">
        <f aca="false">IF(OR(NOT(Tasks[[#This Row],[_IsLeaf]]=1),Tasks[[#This Row],[_Res2Row]]=0),0,N(Tasks[[#This Row],[_Days]])*HoursPerDay*IF(Tasks[[#This Row],[_Res2Units]]="",DefaultUnits,Tasks[[#This Row],[_Res2Units]]))</f>
        <v>0</v>
      </c>
      <c r="DR169" s="42" t="n">
        <f aca="false">IF(AND(AND(Tasks[[#This Row],[_IsLeaf]]=1,Tasks[[#This Row],[_LeafTotalWork]]&gt;0),Tasks[[#This Row],[_Res2Work]]&gt;0),Tasks[[#This Row],[_Res2Work]]/(Tasks[[#This Row],[_FinishWorkday]]-Tasks[[#This Row],[_StartWorkday]]+1),0)</f>
        <v>0</v>
      </c>
      <c r="DS169" s="42" t="n">
        <f aca="false">Tasks[[#This Row],[_Res2WorkPerWD]]*MAX(0,Tasks[[#This Row],[_StartWorkday]]-1)</f>
        <v>0</v>
      </c>
      <c r="DT169" s="42" t="n">
        <f aca="false">Tasks[[#This Row],[_Res2Work]]*Tasks[[#This Row],[_LeafProgress]]</f>
        <v>0</v>
      </c>
      <c r="DU169" s="42" t="str">
        <f aca="false">IF(Tasks[[#This Row],[_Res3Text]]="","",IF(Tasks[[#This Row],[_Res3Row]]&gt;0,INDEX(res_Name,Tasks[[#This Row],[_Res3Row]]),TRIM(LEFT(Tasks[[#This Row],[_Res3Text]],FIND("[",Tasks[[#This Row],[_Res3Text]]&amp;"[")-1))))</f>
        <v/>
      </c>
      <c r="DV1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9" s="42" t="n">
        <f aca="false">IF(OR(NOT(Tasks[[#This Row],[_IsLeaf]]=1),Tasks[[#This Row],[_Res3Row]]=0),0,N(Tasks[[#This Row],[_Days]])*HoursPerDay*IF(Tasks[[#This Row],[_Res3Units]]="",DefaultUnits,Tasks[[#This Row],[_Res3Units]]))</f>
        <v>0</v>
      </c>
      <c r="DX169" s="42" t="n">
        <f aca="false">IF(AND(AND(Tasks[[#This Row],[_IsLeaf]]=1,Tasks[[#This Row],[_LeafTotalWork]]&gt;0),Tasks[[#This Row],[_Res3Work]]&gt;0),Tasks[[#This Row],[_Res3Work]]/(Tasks[[#This Row],[_FinishWorkday]]-Tasks[[#This Row],[_StartWorkday]]+1),0)</f>
        <v>0</v>
      </c>
      <c r="DY169" s="42" t="n">
        <f aca="false">Tasks[[#This Row],[_Res3WorkPerWD]]*MAX(0,Tasks[[#This Row],[_StartWorkday]]-1)</f>
        <v>0</v>
      </c>
      <c r="DZ169" s="42" t="n">
        <f aca="false">Tasks[[#This Row],[_Res3Work]]*Tasks[[#This Row],[_LeafProgress]]</f>
        <v>0</v>
      </c>
      <c r="EA169" s="42" t="str">
        <f aca="false">IF(Tasks[[#This Row],[_Res4Text]]="","",IF(Tasks[[#This Row],[_Res4Row]]&gt;0,INDEX(res_Name,Tasks[[#This Row],[_Res4Row]]),TRIM(LEFT(Tasks[[#This Row],[_Res4Text]],FIND("[",Tasks[[#This Row],[_Res4Text]]&amp;"[")-1))))</f>
        <v/>
      </c>
      <c r="EB1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9" s="42" t="n">
        <f aca="false">IF(OR(NOT(Tasks[[#This Row],[_IsLeaf]]=1),Tasks[[#This Row],[_Res4Row]]=0),0,N(Tasks[[#This Row],[_Days]])*HoursPerDay*IF(Tasks[[#This Row],[_Res4Units]]="",DefaultUnits,Tasks[[#This Row],[_Res4Units]]))</f>
        <v>0</v>
      </c>
      <c r="ED169" s="42" t="n">
        <f aca="false">IF(AND(AND(Tasks[[#This Row],[_IsLeaf]]=1,Tasks[[#This Row],[_LeafTotalWork]]&gt;0),Tasks[[#This Row],[_Res4Work]]&gt;0),Tasks[[#This Row],[_Res4Work]]/(Tasks[[#This Row],[_FinishWorkday]]-Tasks[[#This Row],[_StartWorkday]]+1),0)</f>
        <v>0</v>
      </c>
      <c r="EE169" s="42" t="n">
        <f aca="false">Tasks[[#This Row],[_Res4WorkPerWD]]*MAX(0,Tasks[[#This Row],[_StartWorkday]]-1)</f>
        <v>0</v>
      </c>
      <c r="EF169" s="42" t="n">
        <f aca="false">Tasks[[#This Row],[_Res4Work]]*Tasks[[#This Row],[_LeafProgress]]</f>
        <v>0</v>
      </c>
      <c r="EG169" s="42" t="n">
        <f aca="false">IF(ISNUMBER(Tasks[[#This Row],[% Complete]]),Tasks[[#This Row],[% Complete]],IF(Tasks[[#This Row],[Stage]]="",0,IFERROR(INDEX(stg_Pct,MATCH(Tasks[[#This Row],[Stage]],stg_Name,0)),0)))</f>
        <v>0</v>
      </c>
      <c r="EH169" s="42" t="n">
        <f aca="false">IF(NOT(Tasks[[#This Row],[_IsLeaf]]=1),0,IF(N(Tasks[[#This Row],[Actual Finish]])&gt;0,1,MIN(1,Tasks[[#This Row],[_Pct]])))</f>
        <v>0</v>
      </c>
      <c r="EI169" s="42" t="n">
        <f aca="false">IF(OR(NOT(Tasks[[#This Row],[_IsLeaf]]=1),Tasks[[#This Row],[_Res1Row]]=0),0,N(Tasks[[#This Row],[_Days]])*HoursPerDay*IF(Tasks[[#This Row],[_Units1]]="",DefaultUnits,Tasks[[#This Row],[_Units1]]))</f>
        <v>0</v>
      </c>
      <c r="EJ169" s="42" t="n">
        <f aca="false">Tasks[[#This Row],[_LeafWork]]+Tasks[[#This Row],[_Res2Work]]+Tasks[[#This Row],[_Res3Work]]+Tasks[[#This Row],[_Res4Work]]</f>
        <v>0</v>
      </c>
      <c r="EK1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9" s="42" t="n">
        <f aca="false">IF(NOT(Tasks[[#This Row],[_IsLeaf]]=1),0,MAX(_xlfn.MAXIFS(Tasks[_Row],Tasks[_Pred1UID],Tasks[[#This Row],[UID]]),_xlfn.MAXIFS(Tasks[_Row],Tasks[_Pred2UID],Tasks[[#This Row],[UID]]),_xlfn.MAXIFS(Tasks[_Row],Tasks[_Pred3UID],Tasks[[#This Row],[UID]]),_xlfn.MAXIFS(Tasks[_Row],Tasks[_Pred4UID],Tasks[[#This Row],[UID]])))</f>
        <v>0</v>
      </c>
      <c r="ET1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9" s="89" t="str">
        <f aca="false">IF(NOT(Tasks[[#This Row],[_IsLeaf]]=1),"",IF(N(Tasks[[#This Row],[_Days]])&lt;=0,Tasks[[#This Row],[_LeafLateFinish]],WORKDAY.INTL(Tasks[[#This Row],[_LeafLateFinish]],-(Tasks[[#This Row],[_Days]]-1),WorkWeek,Holidays)))</f>
        <v/>
      </c>
      <c r="EW1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9" s="88" t="b">
        <f aca="false">AND(Tasks[[#This Row],[_IsLeaf]]=1,Tasks[[#This Row],[_LeafProgress]]&lt;1,N(Tasks[[#This Row],[_LeafTotalSlack]])&lt;=CriticalSlackDays)</f>
        <v>0</v>
      </c>
      <c r="EY169" s="42" t="n">
        <f aca="false">IF(AND(Tasks[[#This Row],[_IsLeaf]]=1,Tasks[[#This Row],[_ConstraintCode]]=1,Tasks[[#This Row],[Mode]]&lt;&gt;"Manual",N(Tasks[[#This Row],[Actual Start]])=0),MAX(0,N(Tasks[[#This Row],[Free Slack]])),0)</f>
        <v>0</v>
      </c>
      <c r="EZ169" s="89" t="str">
        <f aca="false">IF(NOT(Tasks[[#This Row],[_IsLeaf]]=1),"",IF(Tasks[[#This Row],[_AlapShift]]=0,Tasks[[#This Row],[_LeafCalcStart]],WORKDAY.INTL(Tasks[[#This Row],[_LeafCalcStart]],Tasks[[#This Row],[_AlapShift]],WorkWeek,Holidays)))</f>
        <v/>
      </c>
      <c r="FA169" s="89" t="str">
        <f aca="false">IF(NOT(Tasks[[#This Row],[_IsLeaf]]=1),"",IF(Tasks[[#This Row],[_AlapShift]]=0,Tasks[[#This Row],[_LeafCalcFinish]],WORKDAY.INTL(Tasks[[#This Row],[_LeafCalcFinish]],Tasks[[#This Row],[_AlapShift]],WorkWeek,Holidays)))</f>
        <v/>
      </c>
      <c r="FB169" s="89" t="str">
        <f aca="false">IF(NOT(Tasks[[#This Row],[_IsLeaf]]=1),"",IF(Tasks[[#This Row],[_AlapShift]]=0,Tasks[[#This Row],[_LeafFcstStart]],WORKDAY.INTL(Tasks[[#This Row],[_LeafFcstStart]],Tasks[[#This Row],[_AlapShift]],WorkWeek,Holidays)))</f>
        <v/>
      </c>
      <c r="FC169" s="89" t="str">
        <f aca="false">IF(NOT(Tasks[[#This Row],[_IsLeaf]]=1),"",IF(Tasks[[#This Row],[_AlapShift]]=0,Tasks[[#This Row],[_LeafFcstFinish]],WORKDAY.INTL(Tasks[[#This Row],[_LeafFcstFinish]],Tasks[[#This Row],[_AlapShift]],WorkWeek,Holidays)))</f>
        <v/>
      </c>
      <c r="FD169" s="89" t="str">
        <f aca="false">IF(Tasks[[#This Row],[Task Name]]="","",IF(Tasks[[#This Row],[_IsSummary]],MIN(INDEX(Tasks[_ShownCalcStart],Tasks[[#This Row],[_Row]]+1):INDEX(Tasks[_ShownCalcStart],Tasks[[#This Row],[_Row]]+Tasks[[#This Row],[_Descendants]])),Tasks[[#This Row],[_ShownCalcStart]]))</f>
        <v/>
      </c>
      <c r="FE169" s="89" t="str">
        <f aca="false">IF(Tasks[[#This Row],[Task Name]]="","",IF(Tasks[[#This Row],[_IsSummary]],MAX(INDEX(Tasks[_ShownCalcFinish],Tasks[[#This Row],[_Row]]+1):INDEX(Tasks[_ShownCalcFinish],Tasks[[#This Row],[_Row]]+Tasks[[#This Row],[_Descendants]])),Tasks[[#This Row],[_ShownCalcFinish]]))</f>
        <v/>
      </c>
      <c r="FF1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9" s="42" t="n">
        <f aca="false">IF(AND(Tasks[[#This Row],[_IsLeaf]]=1,Tasks[[#This Row],[_LeafTotalWork]]&gt;0),NETWORKDAYS.INTL(ProjectStart,Tasks[[#This Row],[_ShownFcstStart]],WorkWeek,Holidays),0)</f>
        <v>0</v>
      </c>
      <c r="FS169" s="42" t="n">
        <f aca="false">IF(AND(Tasks[[#This Row],[_IsLeaf]]=1,Tasks[[#This Row],[_LeafTotalWork]]&gt;0),MAX(Tasks[[#This Row],[_StartWorkday]],NETWORKDAYS.INTL(ProjectStart,Tasks[[#This Row],[_ShownFcstFinish]],WorkWeek,Holidays)),0)</f>
        <v>0</v>
      </c>
      <c r="FT169" s="42" t="n">
        <f aca="false">IF(AND(Tasks[[#This Row],[_IsLeaf]]=1,Tasks[[#This Row],[_LeafTotalWork]]&gt;0),Tasks[[#This Row],[_LeafWork]]/(Tasks[[#This Row],[_FinishWorkday]]-Tasks[[#This Row],[_StartWorkday]]+1),0)</f>
        <v>0</v>
      </c>
      <c r="FU169" s="42" t="n">
        <f aca="false">Tasks[[#This Row],[_WorkPerWorkday]]*(Tasks[[#This Row],[_StartWorkday]]-1)</f>
        <v>-0</v>
      </c>
      <c r="FV169" s="42" t="n">
        <f aca="false">IF(Tasks[[#This Row],[_IsLeaf]]=1,MAX(N(Tasks[[#This Row],[_Days]]),0.1),0)</f>
        <v>0</v>
      </c>
      <c r="FW169" s="42" t="n">
        <f aca="false">Tasks[[#This Row],[_WeightDur]]*Tasks[[#This Row],[_LeafProgress]]</f>
        <v>0</v>
      </c>
      <c r="FX169" s="42" t="n">
        <f aca="false">Tasks[[#This Row],[_WeightDur]]*Tasks[[#This Row],[_PlannedPct]]</f>
        <v>0</v>
      </c>
      <c r="FY1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9" s="42" t="str">
        <f aca="false">IF(AND(Tasks[[#This Row],[_IsLeaf]]=1,N(Tasks[[#This Row],[_Days]])=0,Tasks[[#This Row],[_LeafProgress]]&lt;1),Tasks[[#This Row],[_ShownFcstFinish]]+Tasks[[#This Row],[_Row]]/100000,"")</f>
        <v/>
      </c>
      <c r="GA1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9" s="42" t="str">
        <f aca="false">IF(Tasks[[#This Row],[Task Name]]="","",LEFT(Tasks[[#This Row],[WBS]],FIND(".",Tasks[[#This Row],[WBS]]&amp;".")-1))</f>
        <v/>
      </c>
      <c r="GC169" s="42" t="str">
        <f aca="false">IF(AND(Tasks[[#This Row],[Task Name]]&lt;&gt;"",Tasks[[#This Row],[_Level]]=1),Tasks[[#This Row],[_Row]],"")</f>
        <v/>
      </c>
      <c r="GD169" s="42" t="str">
        <f aca="false">IF(AND(Tasks[[#This Row],[_IsLeaf]]=1,N(Tasks[[#This Row],[_Days]])=0),Tasks[[#This Row],[Planned Finish]]+Tasks[[#This Row],[_Row]]/100000,"")</f>
        <v/>
      </c>
      <c r="GE169" s="42" t="str">
        <f aca="false">IF(AND(Tasks[[#This Row],[_IsLeaf]]=1,Tasks[[#This Row],[_LeafProgress]]&lt;1,OR(N(Tasks[[#This Row],[Finish Var]])&gt;0,Tasks[[#This Row],[Status]]="Late Start")),MAX(0,Tasks[[#This Row],[Finish Var]])+1-Tasks[[#This Row],[_Row]]/1000000,"")</f>
        <v/>
      </c>
      <c r="GF169" s="42" t="str">
        <f aca="false">IF(AND(Tasks[[#This Row],[_IsLeaf]]=1,N(Tasks[[#This Row],[Actual Start]])=0,Tasks[[#This Row],[_ShownFcstStart]]&gt;=StatusDate,Tasks[[#This Row],[_ShownFcstStart]]&lt;=LookaheadEnd),Tasks[[#This Row],[_ShownFcstStart]]+Tasks[[#This Row],[_Row]]/100000,"")</f>
        <v/>
      </c>
      <c r="GG169" s="42" t="str">
        <f aca="false">IF(AND(Tasks[[#This Row],[_IsLeaf]]=1,Tasks[[#This Row],[_LeafProgress]]&lt;1,Tasks[[#This Row],[_ShownFcstFinish]]&gt;=StatusDate,Tasks[[#This Row],[_ShownFcstFinish]]&lt;=LookaheadEnd),Tasks[[#This Row],[_ShownFcstFinish]]+Tasks[[#This Row],[_Row]]/100000,"")</f>
        <v/>
      </c>
      <c r="GH169" s="42" t="str">
        <f aca="false">IF(Tasks[[#This Row],[_LeafCritical]],Tasks[[#This Row],[_ShownFcstStart]]+Tasks[[#This Row],[_Row]]/100000,"")</f>
        <v/>
      </c>
      <c r="GI169" s="42" t="n">
        <f aca="false">Tasks[[#This Row],[_LeafWork]]*Tasks[[#This Row],[_LeafProgress]]</f>
        <v>0</v>
      </c>
      <c r="GJ169" s="89" t="str">
        <f aca="false">IF(AND(Tasks[[#This Row],[_IsLeaf]]=1,Tasks[[#This Row],[_LeafProgress]]&gt;=1),IF(N(Tasks[[#This Row],[Actual Finish]])&gt;0,Tasks[[#This Row],[Actual Finish]],Tasks[[#This Row],[_ShownFcstFinish]]),"")</f>
        <v/>
      </c>
      <c r="GK169" s="42" t="n">
        <f aca="false">IF(Tasks[[#This Row],[_IsLeaf]]=1,N(Tasks[[#This Row],[Story Points]]),0)</f>
        <v>0</v>
      </c>
      <c r="GL169" s="42" t="str">
        <f aca="false">""</f>
        <v/>
      </c>
      <c r="GM169" s="88" t="b">
        <f aca="false">IF(Tasks[[#This Row],[Task Name]]="",FALSE(),AND(Tasks[[#This Row],[_IsLeaf]]=1,N(Tasks[[#This Row],[_Days]])=0))</f>
        <v>0</v>
      </c>
      <c r="GN169" s="89" t="n">
        <f aca="false">IF(Tasks[[#This Row],[Task Name]]="",0,IF(AND(Tasks[[#This Row],[_IsLeaf]]=1,NOT(Tasks[[#This Row],[_IsMilestone]]),N(Tasks[[#This Row],[Progress]])&gt;0),Tasks[[#This Row],[Start]],0))</f>
        <v>0</v>
      </c>
      <c r="GO169" s="89" t="n">
        <f aca="false">IF(Tasks[[#This Row],[_DoneFrom]]=0,0,IF(Tasks[[#This Row],[Progress]]&gt;=1,Tasks[[#This Row],[Finish]],MAX(Tasks[[#This Row],[_DoneFrom]],Tasks[[#This Row],[Start]]+ROUND((Tasks[[#This Row],[Finish]]-Tasks[[#This Row],[Start]]+1)*Tasks[[#This Row],[Progress]],0)-1)))</f>
        <v>0</v>
      </c>
      <c r="GP169" s="89" t="n">
        <f aca="false">IF(Tasks[[#This Row],[Task Name]]="",0,IF(OR(NOT(Tasks[[#This Row],[_IsLeaf]]=1),Tasks[[#This Row],[_IsMilestone]],N(Tasks[[#This Row],[Progress]])&gt;=1),0,IF(Tasks[[#This Row],[_DoneTo]]&gt;0,Tasks[[#This Row],[_DoneTo]]+1,Tasks[[#This Row],[Start]])))</f>
        <v>0</v>
      </c>
      <c r="GQ169" s="89" t="n">
        <f aca="false">IF(Tasks[[#This Row],[_RemFrom]]=0,0,Tasks[[#This Row],[Finish]])</f>
        <v>0</v>
      </c>
      <c r="GR169" s="88" t="b">
        <f aca="false">IF(Tasks[[#This Row],[Task Name]]="",FALSE(),OR(NOT(BaselineSet),N(Tasks[[#This Row],[Baseline Start]])&gt;0))</f>
        <v>0</v>
      </c>
      <c r="GS1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9" s="90" t="str">
        <f aca="false">IF(Tasks[[#This Row],[_IsLeaf]]=1,Tasks[[#This Row],[_Row]],"")</f>
        <v/>
      </c>
      <c r="GW169" s="90" t="str">
        <f aca="false">IFERROR(INDEX(Tasks[UID],SMALL(Tasks[_PickKey],Tasks[[#This Row],[_Row]]))&amp;" "&amp;INDEX(Tasks[Task Name],SMALL(Tasks[_PickKey],Tasks[[#This Row],[_Row]])),"")</f>
        <v/>
      </c>
      <c r="GX169" s="42" t="str">
        <f aca="false">IF(Tasks[[#This Row],[Task Name]]="","",IF(Tasks[[#This Row],[_IsSummary]],NETWORKDAYS.INTL(Tasks[[#This Row],[Start]],Tasks[[#This Row],[Finish]],WorkWeek,Holidays),N(Tasks[[#This Row],[_Days]])))</f>
        <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3"/>
      <c r="U170" s="23"/>
      <c r="V170" s="83"/>
      <c r="W170" s="23"/>
      <c r="X170" s="83"/>
      <c r="Y170" s="23"/>
      <c r="Z170" s="83"/>
      <c r="AA170" s="23"/>
      <c r="AB170" s="23"/>
      <c r="AC170" s="7"/>
      <c r="AD170" s="7"/>
      <c r="AE170" s="62" t="str">
        <f aca="false">IF(Tasks[[#This Row],[Task Name]]="","",IF(Tasks[[#This Row],[_IsSummary]],MIN(INDEX(Tasks[_ShownFcstStart],Tasks[[#This Row],[_Row]]+1):INDEX(Tasks[_ShownFcstStart],Tasks[[#This Row],[_Row]]+Tasks[[#This Row],[_Descendants]])),Tasks[[#This Row],[_ShownFcstStart]]))</f>
        <v/>
      </c>
      <c r="AF170" s="62"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0" s="7"/>
      <c r="AK170" s="22"/>
      <c r="AL170" s="23"/>
      <c r="AM170" s="7"/>
      <c r="AN170" s="46"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2" t="str">
        <f aca="false">IF(Tasks[[#This Row],[Task Name]]="","",IF(N(Tasks[[#This Row],[Baseline Start]])&gt;0,Tasks[[#This Row],[Baseline Start]],Tasks[[#This Row],[_CalcStart]]))</f>
        <v/>
      </c>
      <c r="AR170" s="62" t="str">
        <f aca="false">IF(Tasks[[#This Row],[Task Name]]="","",IF(N(Tasks[[#This Row],[Baseline Finish]])&gt;0,Tasks[[#This Row],[Baseline Finish]],Tasks[[#This Row],[_CalcFinish]]))</f>
        <v/>
      </c>
      <c r="AS170" s="46" t="str">
        <f aca="false">IF(Tasks[[#This Row],[Task Name]]="","",IF(Tasks[[#This Row],[Start]]&gt;=Tasks[[#This Row],[Planned Start]],NETWORKDAYS.INTL(Tasks[[#This Row],[Planned Start]],Tasks[[#This Row],[Start]],WorkWeek,Holidays)-1,1-NETWORKDAYS.INTL(Tasks[[#This Row],[Start]],Tasks[[#This Row],[Planned Start]],WorkWeek,Holidays)))</f>
        <v/>
      </c>
      <c r="AT170" s="62" t="str">
        <f aca="false">IF(Tasks[[#This Row],[Task Name]]="","",IF(Tasks[[#This Row],[_IsSummary]],MIN(INDEX(Tasks[_LeafLateStart],Tasks[[#This Row],[_Row]]+1):INDEX(Tasks[_LeafLateStart],Tasks[[#This Row],[_Row]]+Tasks[[#This Row],[_Descendants]])),Tasks[[#This Row],[_LeafLateStart]]))</f>
        <v/>
      </c>
      <c r="AU170" s="62" t="str">
        <f aca="false">IF(Tasks[[#This Row],[Task Name]]="","",IF(Tasks[[#This Row],[_IsSummary]],MAX(INDEX(Tasks[_LeafLateFinish],Tasks[[#This Row],[_Row]]+1):INDEX(Tasks[_LeafLateFinish],Tasks[[#This Row],[_Row]]+Tasks[[#This Row],[_Descendants]])),Tasks[[#This Row],[_LeafLateFinish]]))</f>
        <v/>
      </c>
      <c r="AV170" s="46"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4"/>
      <c r="BA1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5"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6"/>
      <c r="BJ170" s="22"/>
      <c r="BK170" s="46" t="str">
        <f aca="false">IF(OR(Tasks[[#This Row],[Task Name]]="",Tasks[[#This Row],[Baseline Duration]]=""),"",Tasks[[#This Row],[_SpanDays]]-N(Tasks[[#This Row],[Baseline Duration]]))</f>
        <v/>
      </c>
      <c r="BL170" s="85" t="str">
        <f aca="false">IF(OR(Tasks[[#This Row],[Task Name]]="",Tasks[[#This Row],[Baseline Work]]=""),"",Tasks[[#This Row],[Work]]-N(Tasks[[#This Row],[Baseline Work]]))</f>
        <v/>
      </c>
      <c r="BM170" s="62" t="str">
        <f aca="false">IF(Tasks[[#This Row],[Task Name]]="","",IF(OR(TakeBaseline="Yes",N(Tasks[[#This Row],[Baseline Start]])=0),Tasks[[#This Row],[Start]],Tasks[[#This Row],[Baseline Start]]))</f>
        <v/>
      </c>
      <c r="BN170" s="62"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5" t="str">
        <f aca="false">IF(Tasks[[#This Row],[Task Name]]="","",IF(OR(TakeBaseline="Yes",N(Tasks[[#This Row],[Baseline Work]])=0),Tasks[[#This Row],[Work]],Tasks[[#This Row],[Baseline Work]]))</f>
        <v/>
      </c>
      <c r="BQ170" s="7"/>
      <c r="BR170" s="7"/>
      <c r="BS170" s="22"/>
      <c r="BT170" s="87"/>
      <c r="BU170" s="42" t="str">
        <f aca="false">IF(Tasks[[#This Row],[Task Name]]="","",MAX(1,N(Tasks[[#This Row],[Level]])))</f>
        <v/>
      </c>
      <c r="BV170" s="42" t="n">
        <f aca="false">ROW()-ROW(Tasks[[#Headers],[ID]])</f>
        <v>165</v>
      </c>
      <c r="BW170" s="42" t="n">
        <f aca="false">IF(OR(Tasks[[#This Row],[Task Name]]="",Tasks[[#This Row],[_Level]]&lt;=1),0,IFERROR(LOOKUP(2,1/(Tasks[[#Headers],[_Level]]:Tasks[[#This Row],[_Level]]=Tasks[[#This Row],[_Level]]-1),ROW(Tasks[[#Headers],[_Level]]:Tasks[[#This Row],[_Level]])),0))</f>
        <v>0</v>
      </c>
      <c r="BX170" s="42" t="n">
        <f aca="false">IFERROR(N(INDEX(Tasks[_Level],Tasks[[#This Row],[_Row]]+1)),0)</f>
        <v>0</v>
      </c>
      <c r="BY170" s="88" t="b">
        <f aca="false">AND(Tasks[[#This Row],[Task Name]]&lt;&gt;"",Tasks[[#This Row],[_NextLevel]]&gt;Tasks[[#This Row],[_Level]])</f>
        <v>0</v>
      </c>
      <c r="BZ170" s="42" t="n">
        <f aca="false">IF(Tasks[[#This Row],[_IsSummary]],COUNTIF(Tasks[WBS],Tasks[[#This Row],[WBS]]&amp;".*"),0)</f>
        <v>0</v>
      </c>
      <c r="CA170" s="42" t="n">
        <f aca="false">IF(AND(Tasks[[#This Row],[Task Name]]&lt;&gt;"",NOT(Tasks[[#This Row],[_IsSummary]])),1,0)</f>
        <v>0</v>
      </c>
      <c r="CB170" s="42" t="n">
        <f aca="false">IF(N(Tasks[[#This Row],[_Pred1UID]])=0,0,IFERROR(MATCH(Tasks[[#This Row],[_Pred1UID]],Tasks[UID],0),-1))</f>
        <v>0</v>
      </c>
      <c r="CC170" s="42" t="n">
        <f aca="false">IF(N(Tasks[[#This Row],[_Pred2UID]])=0,0,IFERROR(MATCH(Tasks[[#This Row],[_Pred2UID]],Tasks[UID],0),-1))</f>
        <v>0</v>
      </c>
      <c r="CD170" s="42" t="n">
        <f aca="false">IF(N(Tasks[[#This Row],[_Pred3UID]])=0,0,IFERROR(MATCH(Tasks[[#This Row],[_Pred3UID]],Tasks[UID],0),-1))</f>
        <v>0</v>
      </c>
      <c r="CE170" s="42" t="n">
        <f aca="false">IF(N(Tasks[[#This Row],[_Pred4UID]])=0,0,IFERROR(MATCH(Tasks[[#This Row],[_Pred4UID]],Tasks[UID],0),-1))</f>
        <v>0</v>
      </c>
      <c r="CF1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0" s="89" t="n">
        <f aca="false">IF(OR(Tasks[[#This Row],[_ConstraintCode]]=2,Tasks[[#This Row],[_ConstraintCode]]=3,Tasks[[#This Row],[_ConstraintCode]]=4,Tasks[[#This Row],[_ConstraintCode]]=6),Tasks[[#This Row],[_ConstraintStart]],0)</f>
        <v>0</v>
      </c>
      <c r="CI170" s="89" t="n">
        <f aca="false">IF(OR(Tasks[[#This Row],[_ConstraintCode]]=2,Tasks[[#This Row],[_ConstraintCode]]=3,Tasks[[#This Row],[_ConstraintCode]]=5,Tasks[[#This Row],[_ConstraintCode]]=7),Tasks[[#This Row],[_ConstraintStart]],2958465)</f>
        <v>2958465</v>
      </c>
      <c r="CJ1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0" s="89" t="str">
        <f aca="false">IF(NOT(Tasks[[#This Row],[_IsLeaf]]=1),"",IF(N(Tasks[[#This Row],[_Days]])&lt;=0,Tasks[[#This Row],[_LeafCalcStart]],WORKDAY.INTL(Tasks[[#This Row],[_LeafCalcStart]],Tasks[[#This Row],[_Days]]-1,WorkWeek,Holidays)))</f>
        <v/>
      </c>
      <c r="CL1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0" s="42" t="str">
        <f aca="false">IF(Tasks[[#This Row],[_Predecessors]]="","",TRIM(MID(SUBSTITUTE(SUBSTITUTE(SUBSTITUTE(UPPER(Tasks[[#This Row],[_Predecessors]]),";",",")," ",""),",",REPT(" ",99)),1,99)))</f>
        <v/>
      </c>
      <c r="CO170" s="42" t="str">
        <f aca="false">IF(Tasks[[#This Row],[_Pred1Text]]="","",IFERROR(VALUE(LEFT(Tasks[[#This Row],[_Pred1Text]],MIN(FIND("F",Tasks[[#This Row],[_Pred1Text]]&amp;"F"),FIND("S",Tasks[[#This Row],[_Pred1Text]]&amp;"S"),FIND("+",Tasks[[#This Row],[_Pred1Text]]&amp;"+"),FIND("-",Tasks[[#This Row],[_Pred1Text]]&amp;"-"))-1)),""))</f>
        <v/>
      </c>
      <c r="CP1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0" s="42" t="str">
        <f aca="false">IF(Tasks[[#This Row],[_Pred1Text]]="","",TRIM(MID(SUBSTITUTE(SUBSTITUTE(SUBSTITUTE(UPPER(Tasks[[#This Row],[_Predecessors]]),";",",")," ",""),",",REPT(" ",99)),100,99)))</f>
        <v/>
      </c>
      <c r="CS170" s="42" t="str">
        <f aca="false">IF(Tasks[[#This Row],[_Pred2Text]]="","",IFERROR(VALUE(LEFT(Tasks[[#This Row],[_Pred2Text]],MIN(FIND("F",Tasks[[#This Row],[_Pred2Text]]&amp;"F"),FIND("S",Tasks[[#This Row],[_Pred2Text]]&amp;"S"),FIND("+",Tasks[[#This Row],[_Pred2Text]]&amp;"+"),FIND("-",Tasks[[#This Row],[_Pred2Text]]&amp;"-"))-1)),""))</f>
        <v/>
      </c>
      <c r="CT1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0" s="42" t="str">
        <f aca="false">IF(Tasks[[#This Row],[_Pred2Text]]="","",TRIM(MID(SUBSTITUTE(SUBSTITUTE(SUBSTITUTE(UPPER(Tasks[[#This Row],[_Predecessors]]),";",",")," ",""),",",REPT(" ",99)),199,99)))</f>
        <v/>
      </c>
      <c r="CW170" s="42" t="str">
        <f aca="false">IF(Tasks[[#This Row],[_Pred3Text]]="","",IFERROR(VALUE(LEFT(Tasks[[#This Row],[_Pred3Text]],MIN(FIND("F",Tasks[[#This Row],[_Pred3Text]]&amp;"F"),FIND("S",Tasks[[#This Row],[_Pred3Text]]&amp;"S"),FIND("+",Tasks[[#This Row],[_Pred3Text]]&amp;"+"),FIND("-",Tasks[[#This Row],[_Pred3Text]]&amp;"-"))-1)),""))</f>
        <v/>
      </c>
      <c r="CX1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0" s="42" t="str">
        <f aca="false">IF(Tasks[[#This Row],[_Pred3Text]]="","",TRIM(MID(SUBSTITUTE(SUBSTITUTE(SUBSTITUTE(UPPER(Tasks[[#This Row],[_Predecessors]]),";",",")," ",""),",",REPT(" ",99)),298,99)))</f>
        <v/>
      </c>
      <c r="DA170" s="42" t="str">
        <f aca="false">IF(Tasks[[#This Row],[_Pred4Text]]="","",IFERROR(VALUE(LEFT(Tasks[[#This Row],[_Pred4Text]],MIN(FIND("F",Tasks[[#This Row],[_Pred4Text]]&amp;"F"),FIND("S",Tasks[[#This Row],[_Pred4Text]]&amp;"S"),FIND("+",Tasks[[#This Row],[_Pred4Text]]&amp;"+"),FIND("-",Tasks[[#This Row],[_Pred4Text]]&amp;"-"))-1)),""))</f>
        <v/>
      </c>
      <c r="DB1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0" s="42" t="str">
        <f aca="false">IF(OR(Tasks[[#This Row],[Task Name]]="",Tasks[[#This Row],[_Resources]]=""),"",TRIM(MID(SUBSTITUTE(Tasks[[#This Row],[_Resources]],",",REPT(" ",99)),1,99)))</f>
        <v/>
      </c>
      <c r="DE170" s="42" t="str">
        <f aca="false">IF(Tasks[[#This Row],[_Res1Text]]="","",TRIM(MID(SUBSTITUTE(Tasks[[#This Row],[_Resources]],",",REPT(" ",99)),100,99)))</f>
        <v/>
      </c>
      <c r="DF170" s="42" t="str">
        <f aca="false">IF(Tasks[[#This Row],[_Res2Text]]="","",TRIM(MID(SUBSTITUTE(Tasks[[#This Row],[_Resources]],",",REPT(" ",99)),199,99)))</f>
        <v/>
      </c>
      <c r="DG170" s="42" t="str">
        <f aca="false">IF(Tasks[[#This Row],[_Res3Text]]="","",TRIM(MID(SUBSTITUTE(Tasks[[#This Row],[_Resources]],",",REPT(" ",99)),298,99)))</f>
        <v/>
      </c>
      <c r="DH170" s="42" t="n">
        <f aca="false">IF(Tasks[[#This Row],[_Res1Text]]="",0,IFERROR(MATCH(TRIM(LEFT(Tasks[[#This Row],[_Res1Text]],FIND("[",Tasks[[#This Row],[_Res1Text]]&amp;"[")-1)),res_Name,0),IFERROR(MATCH(TRIM(LEFT(Tasks[[#This Row],[_Res1Text]],FIND("[",Tasks[[#This Row],[_Res1Text]]&amp;"[")-1)),res_Initials,0),0)))</f>
        <v>0</v>
      </c>
      <c r="DI170" s="42" t="n">
        <f aca="false">IF(Tasks[[#This Row],[_Res2Text]]="",0,IFERROR(MATCH(TRIM(LEFT(Tasks[[#This Row],[_Res2Text]],FIND("[",Tasks[[#This Row],[_Res2Text]]&amp;"[")-1)),res_Name,0),IFERROR(MATCH(TRIM(LEFT(Tasks[[#This Row],[_Res2Text]],FIND("[",Tasks[[#This Row],[_Res2Text]]&amp;"[")-1)),res_Initials,0),0)))</f>
        <v>0</v>
      </c>
      <c r="DJ170" s="42" t="n">
        <f aca="false">IF(Tasks[[#This Row],[_Res3Text]]="",0,IFERROR(MATCH(TRIM(LEFT(Tasks[[#This Row],[_Res3Text]],FIND("[",Tasks[[#This Row],[_Res3Text]]&amp;"[")-1)),res_Name,0),IFERROR(MATCH(TRIM(LEFT(Tasks[[#This Row],[_Res3Text]],FIND("[",Tasks[[#This Row],[_Res3Text]]&amp;"[")-1)),res_Initials,0),0)))</f>
        <v>0</v>
      </c>
      <c r="DK170" s="42" t="n">
        <f aca="false">IF(Tasks[[#This Row],[_Res4Text]]="",0,IFERROR(MATCH(TRIM(LEFT(Tasks[[#This Row],[_Res4Text]],FIND("[",Tasks[[#This Row],[_Res4Text]]&amp;"[")-1)),res_Name,0),IFERROR(MATCH(TRIM(LEFT(Tasks[[#This Row],[_Res4Text]],FIND("[",Tasks[[#This Row],[_Res4Text]]&amp;"[")-1)),res_Initials,0),0)))</f>
        <v>0</v>
      </c>
      <c r="DL170" s="42" t="str">
        <f aca="false">IF(Tasks[[#This Row],[_Res1Text]]="","",IF(Tasks[[#This Row],[_Res1Row]]&gt;0,INDEX(res_Name,Tasks[[#This Row],[_Res1Row]]),TRIM(LEFT(Tasks[[#This Row],[_Res1Text]],FIND("[",Tasks[[#This Row],[_Res1Text]]&amp;"[")-1))))</f>
        <v/>
      </c>
      <c r="DM1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0" s="42" t="n">
        <f aca="false">IF(NOT(Tasks[[#This Row],[_IsLeaf]]=1),0,(Tasks[[#This Row],[_Resource1]]&lt;&gt;"")+(Tasks[[#This Row],[_Res2]]&lt;&gt;"")+(Tasks[[#This Row],[_Res3]]&lt;&gt;"")+(Tasks[[#This Row],[_Res4]]&lt;&gt;""))</f>
        <v>0</v>
      </c>
      <c r="DO170" s="42" t="str">
        <f aca="false">IF(Tasks[[#This Row],[_Res2Text]]="","",IF(Tasks[[#This Row],[_Res2Row]]&gt;0,INDEX(res_Name,Tasks[[#This Row],[_Res2Row]]),TRIM(LEFT(Tasks[[#This Row],[_Res2Text]],FIND("[",Tasks[[#This Row],[_Res2Text]]&amp;"[")-1))))</f>
        <v/>
      </c>
      <c r="DP1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0" s="42" t="n">
        <f aca="false">IF(OR(NOT(Tasks[[#This Row],[_IsLeaf]]=1),Tasks[[#This Row],[_Res2Row]]=0),0,N(Tasks[[#This Row],[_Days]])*HoursPerDay*IF(Tasks[[#This Row],[_Res2Units]]="",DefaultUnits,Tasks[[#This Row],[_Res2Units]]))</f>
        <v>0</v>
      </c>
      <c r="DR170" s="42" t="n">
        <f aca="false">IF(AND(AND(Tasks[[#This Row],[_IsLeaf]]=1,Tasks[[#This Row],[_LeafTotalWork]]&gt;0),Tasks[[#This Row],[_Res2Work]]&gt;0),Tasks[[#This Row],[_Res2Work]]/(Tasks[[#This Row],[_FinishWorkday]]-Tasks[[#This Row],[_StartWorkday]]+1),0)</f>
        <v>0</v>
      </c>
      <c r="DS170" s="42" t="n">
        <f aca="false">Tasks[[#This Row],[_Res2WorkPerWD]]*MAX(0,Tasks[[#This Row],[_StartWorkday]]-1)</f>
        <v>0</v>
      </c>
      <c r="DT170" s="42" t="n">
        <f aca="false">Tasks[[#This Row],[_Res2Work]]*Tasks[[#This Row],[_LeafProgress]]</f>
        <v>0</v>
      </c>
      <c r="DU170" s="42" t="str">
        <f aca="false">IF(Tasks[[#This Row],[_Res3Text]]="","",IF(Tasks[[#This Row],[_Res3Row]]&gt;0,INDEX(res_Name,Tasks[[#This Row],[_Res3Row]]),TRIM(LEFT(Tasks[[#This Row],[_Res3Text]],FIND("[",Tasks[[#This Row],[_Res3Text]]&amp;"[")-1))))</f>
        <v/>
      </c>
      <c r="DV1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0" s="42" t="n">
        <f aca="false">IF(OR(NOT(Tasks[[#This Row],[_IsLeaf]]=1),Tasks[[#This Row],[_Res3Row]]=0),0,N(Tasks[[#This Row],[_Days]])*HoursPerDay*IF(Tasks[[#This Row],[_Res3Units]]="",DefaultUnits,Tasks[[#This Row],[_Res3Units]]))</f>
        <v>0</v>
      </c>
      <c r="DX170" s="42" t="n">
        <f aca="false">IF(AND(AND(Tasks[[#This Row],[_IsLeaf]]=1,Tasks[[#This Row],[_LeafTotalWork]]&gt;0),Tasks[[#This Row],[_Res3Work]]&gt;0),Tasks[[#This Row],[_Res3Work]]/(Tasks[[#This Row],[_FinishWorkday]]-Tasks[[#This Row],[_StartWorkday]]+1),0)</f>
        <v>0</v>
      </c>
      <c r="DY170" s="42" t="n">
        <f aca="false">Tasks[[#This Row],[_Res3WorkPerWD]]*MAX(0,Tasks[[#This Row],[_StartWorkday]]-1)</f>
        <v>0</v>
      </c>
      <c r="DZ170" s="42" t="n">
        <f aca="false">Tasks[[#This Row],[_Res3Work]]*Tasks[[#This Row],[_LeafProgress]]</f>
        <v>0</v>
      </c>
      <c r="EA170" s="42" t="str">
        <f aca="false">IF(Tasks[[#This Row],[_Res4Text]]="","",IF(Tasks[[#This Row],[_Res4Row]]&gt;0,INDEX(res_Name,Tasks[[#This Row],[_Res4Row]]),TRIM(LEFT(Tasks[[#This Row],[_Res4Text]],FIND("[",Tasks[[#This Row],[_Res4Text]]&amp;"[")-1))))</f>
        <v/>
      </c>
      <c r="EB1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0" s="42" t="n">
        <f aca="false">IF(OR(NOT(Tasks[[#This Row],[_IsLeaf]]=1),Tasks[[#This Row],[_Res4Row]]=0),0,N(Tasks[[#This Row],[_Days]])*HoursPerDay*IF(Tasks[[#This Row],[_Res4Units]]="",DefaultUnits,Tasks[[#This Row],[_Res4Units]]))</f>
        <v>0</v>
      </c>
      <c r="ED170" s="42" t="n">
        <f aca="false">IF(AND(AND(Tasks[[#This Row],[_IsLeaf]]=1,Tasks[[#This Row],[_LeafTotalWork]]&gt;0),Tasks[[#This Row],[_Res4Work]]&gt;0),Tasks[[#This Row],[_Res4Work]]/(Tasks[[#This Row],[_FinishWorkday]]-Tasks[[#This Row],[_StartWorkday]]+1),0)</f>
        <v>0</v>
      </c>
      <c r="EE170" s="42" t="n">
        <f aca="false">Tasks[[#This Row],[_Res4WorkPerWD]]*MAX(0,Tasks[[#This Row],[_StartWorkday]]-1)</f>
        <v>0</v>
      </c>
      <c r="EF170" s="42" t="n">
        <f aca="false">Tasks[[#This Row],[_Res4Work]]*Tasks[[#This Row],[_LeafProgress]]</f>
        <v>0</v>
      </c>
      <c r="EG170" s="42" t="n">
        <f aca="false">IF(ISNUMBER(Tasks[[#This Row],[% Complete]]),Tasks[[#This Row],[% Complete]],IF(Tasks[[#This Row],[Stage]]="",0,IFERROR(INDEX(stg_Pct,MATCH(Tasks[[#This Row],[Stage]],stg_Name,0)),0)))</f>
        <v>0</v>
      </c>
      <c r="EH170" s="42" t="n">
        <f aca="false">IF(NOT(Tasks[[#This Row],[_IsLeaf]]=1),0,IF(N(Tasks[[#This Row],[Actual Finish]])&gt;0,1,MIN(1,Tasks[[#This Row],[_Pct]])))</f>
        <v>0</v>
      </c>
      <c r="EI170" s="42" t="n">
        <f aca="false">IF(OR(NOT(Tasks[[#This Row],[_IsLeaf]]=1),Tasks[[#This Row],[_Res1Row]]=0),0,N(Tasks[[#This Row],[_Days]])*HoursPerDay*IF(Tasks[[#This Row],[_Units1]]="",DefaultUnits,Tasks[[#This Row],[_Units1]]))</f>
        <v>0</v>
      </c>
      <c r="EJ170" s="42" t="n">
        <f aca="false">Tasks[[#This Row],[_LeafWork]]+Tasks[[#This Row],[_Res2Work]]+Tasks[[#This Row],[_Res3Work]]+Tasks[[#This Row],[_Res4Work]]</f>
        <v>0</v>
      </c>
      <c r="EK1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0" s="42" t="n">
        <f aca="false">IF(NOT(Tasks[[#This Row],[_IsLeaf]]=1),0,MAX(_xlfn.MAXIFS(Tasks[_Row],Tasks[_Pred1UID],Tasks[[#This Row],[UID]]),_xlfn.MAXIFS(Tasks[_Row],Tasks[_Pred2UID],Tasks[[#This Row],[UID]]),_xlfn.MAXIFS(Tasks[_Row],Tasks[_Pred3UID],Tasks[[#This Row],[UID]]),_xlfn.MAXIFS(Tasks[_Row],Tasks[_Pred4UID],Tasks[[#This Row],[UID]])))</f>
        <v>0</v>
      </c>
      <c r="ET1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0" s="89" t="str">
        <f aca="false">IF(NOT(Tasks[[#This Row],[_IsLeaf]]=1),"",IF(N(Tasks[[#This Row],[_Days]])&lt;=0,Tasks[[#This Row],[_LeafLateFinish]],WORKDAY.INTL(Tasks[[#This Row],[_LeafLateFinish]],-(Tasks[[#This Row],[_Days]]-1),WorkWeek,Holidays)))</f>
        <v/>
      </c>
      <c r="EW1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0" s="88" t="b">
        <f aca="false">AND(Tasks[[#This Row],[_IsLeaf]]=1,Tasks[[#This Row],[_LeafProgress]]&lt;1,N(Tasks[[#This Row],[_LeafTotalSlack]])&lt;=CriticalSlackDays)</f>
        <v>0</v>
      </c>
      <c r="EY170" s="42" t="n">
        <f aca="false">IF(AND(Tasks[[#This Row],[_IsLeaf]]=1,Tasks[[#This Row],[_ConstraintCode]]=1,Tasks[[#This Row],[Mode]]&lt;&gt;"Manual",N(Tasks[[#This Row],[Actual Start]])=0),MAX(0,N(Tasks[[#This Row],[Free Slack]])),0)</f>
        <v>0</v>
      </c>
      <c r="EZ170" s="89" t="str">
        <f aca="false">IF(NOT(Tasks[[#This Row],[_IsLeaf]]=1),"",IF(Tasks[[#This Row],[_AlapShift]]=0,Tasks[[#This Row],[_LeafCalcStart]],WORKDAY.INTL(Tasks[[#This Row],[_LeafCalcStart]],Tasks[[#This Row],[_AlapShift]],WorkWeek,Holidays)))</f>
        <v/>
      </c>
      <c r="FA170" s="89" t="str">
        <f aca="false">IF(NOT(Tasks[[#This Row],[_IsLeaf]]=1),"",IF(Tasks[[#This Row],[_AlapShift]]=0,Tasks[[#This Row],[_LeafCalcFinish]],WORKDAY.INTL(Tasks[[#This Row],[_LeafCalcFinish]],Tasks[[#This Row],[_AlapShift]],WorkWeek,Holidays)))</f>
        <v/>
      </c>
      <c r="FB170" s="89" t="str">
        <f aca="false">IF(NOT(Tasks[[#This Row],[_IsLeaf]]=1),"",IF(Tasks[[#This Row],[_AlapShift]]=0,Tasks[[#This Row],[_LeafFcstStart]],WORKDAY.INTL(Tasks[[#This Row],[_LeafFcstStart]],Tasks[[#This Row],[_AlapShift]],WorkWeek,Holidays)))</f>
        <v/>
      </c>
      <c r="FC170" s="89" t="str">
        <f aca="false">IF(NOT(Tasks[[#This Row],[_IsLeaf]]=1),"",IF(Tasks[[#This Row],[_AlapShift]]=0,Tasks[[#This Row],[_LeafFcstFinish]],WORKDAY.INTL(Tasks[[#This Row],[_LeafFcstFinish]],Tasks[[#This Row],[_AlapShift]],WorkWeek,Holidays)))</f>
        <v/>
      </c>
      <c r="FD170" s="89" t="str">
        <f aca="false">IF(Tasks[[#This Row],[Task Name]]="","",IF(Tasks[[#This Row],[_IsSummary]],MIN(INDEX(Tasks[_ShownCalcStart],Tasks[[#This Row],[_Row]]+1):INDEX(Tasks[_ShownCalcStart],Tasks[[#This Row],[_Row]]+Tasks[[#This Row],[_Descendants]])),Tasks[[#This Row],[_ShownCalcStart]]))</f>
        <v/>
      </c>
      <c r="FE170" s="89" t="str">
        <f aca="false">IF(Tasks[[#This Row],[Task Name]]="","",IF(Tasks[[#This Row],[_IsSummary]],MAX(INDEX(Tasks[_ShownCalcFinish],Tasks[[#This Row],[_Row]]+1):INDEX(Tasks[_ShownCalcFinish],Tasks[[#This Row],[_Row]]+Tasks[[#This Row],[_Descendants]])),Tasks[[#This Row],[_ShownCalcFinish]]))</f>
        <v/>
      </c>
      <c r="FF1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0" s="42" t="n">
        <f aca="false">IF(AND(Tasks[[#This Row],[_IsLeaf]]=1,Tasks[[#This Row],[_LeafTotalWork]]&gt;0),NETWORKDAYS.INTL(ProjectStart,Tasks[[#This Row],[_ShownFcstStart]],WorkWeek,Holidays),0)</f>
        <v>0</v>
      </c>
      <c r="FS170" s="42" t="n">
        <f aca="false">IF(AND(Tasks[[#This Row],[_IsLeaf]]=1,Tasks[[#This Row],[_LeafTotalWork]]&gt;0),MAX(Tasks[[#This Row],[_StartWorkday]],NETWORKDAYS.INTL(ProjectStart,Tasks[[#This Row],[_ShownFcstFinish]],WorkWeek,Holidays)),0)</f>
        <v>0</v>
      </c>
      <c r="FT170" s="42" t="n">
        <f aca="false">IF(AND(Tasks[[#This Row],[_IsLeaf]]=1,Tasks[[#This Row],[_LeafTotalWork]]&gt;0),Tasks[[#This Row],[_LeafWork]]/(Tasks[[#This Row],[_FinishWorkday]]-Tasks[[#This Row],[_StartWorkday]]+1),0)</f>
        <v>0</v>
      </c>
      <c r="FU170" s="42" t="n">
        <f aca="false">Tasks[[#This Row],[_WorkPerWorkday]]*(Tasks[[#This Row],[_StartWorkday]]-1)</f>
        <v>-0</v>
      </c>
      <c r="FV170" s="42" t="n">
        <f aca="false">IF(Tasks[[#This Row],[_IsLeaf]]=1,MAX(N(Tasks[[#This Row],[_Days]]),0.1),0)</f>
        <v>0</v>
      </c>
      <c r="FW170" s="42" t="n">
        <f aca="false">Tasks[[#This Row],[_WeightDur]]*Tasks[[#This Row],[_LeafProgress]]</f>
        <v>0</v>
      </c>
      <c r="FX170" s="42" t="n">
        <f aca="false">Tasks[[#This Row],[_WeightDur]]*Tasks[[#This Row],[_PlannedPct]]</f>
        <v>0</v>
      </c>
      <c r="FY1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0" s="42" t="str">
        <f aca="false">IF(AND(Tasks[[#This Row],[_IsLeaf]]=1,N(Tasks[[#This Row],[_Days]])=0,Tasks[[#This Row],[_LeafProgress]]&lt;1),Tasks[[#This Row],[_ShownFcstFinish]]+Tasks[[#This Row],[_Row]]/100000,"")</f>
        <v/>
      </c>
      <c r="GA1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0" s="42" t="str">
        <f aca="false">IF(Tasks[[#This Row],[Task Name]]="","",LEFT(Tasks[[#This Row],[WBS]],FIND(".",Tasks[[#This Row],[WBS]]&amp;".")-1))</f>
        <v/>
      </c>
      <c r="GC170" s="42" t="str">
        <f aca="false">IF(AND(Tasks[[#This Row],[Task Name]]&lt;&gt;"",Tasks[[#This Row],[_Level]]=1),Tasks[[#This Row],[_Row]],"")</f>
        <v/>
      </c>
      <c r="GD170" s="42" t="str">
        <f aca="false">IF(AND(Tasks[[#This Row],[_IsLeaf]]=1,N(Tasks[[#This Row],[_Days]])=0),Tasks[[#This Row],[Planned Finish]]+Tasks[[#This Row],[_Row]]/100000,"")</f>
        <v/>
      </c>
      <c r="GE170" s="42" t="str">
        <f aca="false">IF(AND(Tasks[[#This Row],[_IsLeaf]]=1,Tasks[[#This Row],[_LeafProgress]]&lt;1,OR(N(Tasks[[#This Row],[Finish Var]])&gt;0,Tasks[[#This Row],[Status]]="Late Start")),MAX(0,Tasks[[#This Row],[Finish Var]])+1-Tasks[[#This Row],[_Row]]/1000000,"")</f>
        <v/>
      </c>
      <c r="GF170" s="42" t="str">
        <f aca="false">IF(AND(Tasks[[#This Row],[_IsLeaf]]=1,N(Tasks[[#This Row],[Actual Start]])=0,Tasks[[#This Row],[_ShownFcstStart]]&gt;=StatusDate,Tasks[[#This Row],[_ShownFcstStart]]&lt;=LookaheadEnd),Tasks[[#This Row],[_ShownFcstStart]]+Tasks[[#This Row],[_Row]]/100000,"")</f>
        <v/>
      </c>
      <c r="GG170" s="42" t="str">
        <f aca="false">IF(AND(Tasks[[#This Row],[_IsLeaf]]=1,Tasks[[#This Row],[_LeafProgress]]&lt;1,Tasks[[#This Row],[_ShownFcstFinish]]&gt;=StatusDate,Tasks[[#This Row],[_ShownFcstFinish]]&lt;=LookaheadEnd),Tasks[[#This Row],[_ShownFcstFinish]]+Tasks[[#This Row],[_Row]]/100000,"")</f>
        <v/>
      </c>
      <c r="GH170" s="42" t="str">
        <f aca="false">IF(Tasks[[#This Row],[_LeafCritical]],Tasks[[#This Row],[_ShownFcstStart]]+Tasks[[#This Row],[_Row]]/100000,"")</f>
        <v/>
      </c>
      <c r="GI170" s="42" t="n">
        <f aca="false">Tasks[[#This Row],[_LeafWork]]*Tasks[[#This Row],[_LeafProgress]]</f>
        <v>0</v>
      </c>
      <c r="GJ170" s="89" t="str">
        <f aca="false">IF(AND(Tasks[[#This Row],[_IsLeaf]]=1,Tasks[[#This Row],[_LeafProgress]]&gt;=1),IF(N(Tasks[[#This Row],[Actual Finish]])&gt;0,Tasks[[#This Row],[Actual Finish]],Tasks[[#This Row],[_ShownFcstFinish]]),"")</f>
        <v/>
      </c>
      <c r="GK170" s="42" t="n">
        <f aca="false">IF(Tasks[[#This Row],[_IsLeaf]]=1,N(Tasks[[#This Row],[Story Points]]),0)</f>
        <v>0</v>
      </c>
      <c r="GL170" s="42" t="str">
        <f aca="false">""</f>
        <v/>
      </c>
      <c r="GM170" s="88" t="b">
        <f aca="false">IF(Tasks[[#This Row],[Task Name]]="",FALSE(),AND(Tasks[[#This Row],[_IsLeaf]]=1,N(Tasks[[#This Row],[_Days]])=0))</f>
        <v>0</v>
      </c>
      <c r="GN170" s="89" t="n">
        <f aca="false">IF(Tasks[[#This Row],[Task Name]]="",0,IF(AND(Tasks[[#This Row],[_IsLeaf]]=1,NOT(Tasks[[#This Row],[_IsMilestone]]),N(Tasks[[#This Row],[Progress]])&gt;0),Tasks[[#This Row],[Start]],0))</f>
        <v>0</v>
      </c>
      <c r="GO170" s="89" t="n">
        <f aca="false">IF(Tasks[[#This Row],[_DoneFrom]]=0,0,IF(Tasks[[#This Row],[Progress]]&gt;=1,Tasks[[#This Row],[Finish]],MAX(Tasks[[#This Row],[_DoneFrom]],Tasks[[#This Row],[Start]]+ROUND((Tasks[[#This Row],[Finish]]-Tasks[[#This Row],[Start]]+1)*Tasks[[#This Row],[Progress]],0)-1)))</f>
        <v>0</v>
      </c>
      <c r="GP170" s="89" t="n">
        <f aca="false">IF(Tasks[[#This Row],[Task Name]]="",0,IF(OR(NOT(Tasks[[#This Row],[_IsLeaf]]=1),Tasks[[#This Row],[_IsMilestone]],N(Tasks[[#This Row],[Progress]])&gt;=1),0,IF(Tasks[[#This Row],[_DoneTo]]&gt;0,Tasks[[#This Row],[_DoneTo]]+1,Tasks[[#This Row],[Start]])))</f>
        <v>0</v>
      </c>
      <c r="GQ170" s="89" t="n">
        <f aca="false">IF(Tasks[[#This Row],[_RemFrom]]=0,0,Tasks[[#This Row],[Finish]])</f>
        <v>0</v>
      </c>
      <c r="GR170" s="88" t="b">
        <f aca="false">IF(Tasks[[#This Row],[Task Name]]="",FALSE(),OR(NOT(BaselineSet),N(Tasks[[#This Row],[Baseline Start]])&gt;0))</f>
        <v>0</v>
      </c>
      <c r="GS1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0" s="90" t="str">
        <f aca="false">IF(Tasks[[#This Row],[_IsLeaf]]=1,Tasks[[#This Row],[_Row]],"")</f>
        <v/>
      </c>
      <c r="GW170" s="90" t="str">
        <f aca="false">IFERROR(INDEX(Tasks[UID],SMALL(Tasks[_PickKey],Tasks[[#This Row],[_Row]]))&amp;" "&amp;INDEX(Tasks[Task Name],SMALL(Tasks[_PickKey],Tasks[[#This Row],[_Row]])),"")</f>
        <v/>
      </c>
      <c r="GX170" s="42" t="str">
        <f aca="false">IF(Tasks[[#This Row],[Task Name]]="","",IF(Tasks[[#This Row],[_IsSummary]],NETWORKDAYS.INTL(Tasks[[#This Row],[Start]],Tasks[[#This Row],[Finish]],WorkWeek,Holidays),N(Tasks[[#This Row],[_Days]])))</f>
        <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3"/>
      <c r="U171" s="23"/>
      <c r="V171" s="83"/>
      <c r="W171" s="23"/>
      <c r="X171" s="83"/>
      <c r="Y171" s="23"/>
      <c r="Z171" s="83"/>
      <c r="AA171" s="23"/>
      <c r="AB171" s="23"/>
      <c r="AC171" s="7"/>
      <c r="AD171" s="7"/>
      <c r="AE171" s="62" t="str">
        <f aca="false">IF(Tasks[[#This Row],[Task Name]]="","",IF(Tasks[[#This Row],[_IsSummary]],MIN(INDEX(Tasks[_ShownFcstStart],Tasks[[#This Row],[_Row]]+1):INDEX(Tasks[_ShownFcstStart],Tasks[[#This Row],[_Row]]+Tasks[[#This Row],[_Descendants]])),Tasks[[#This Row],[_ShownFcstStart]]))</f>
        <v/>
      </c>
      <c r="AF171" s="62"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1" s="7"/>
      <c r="AK171" s="22"/>
      <c r="AL171" s="23"/>
      <c r="AM171" s="7"/>
      <c r="AN171" s="46"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2" t="str">
        <f aca="false">IF(Tasks[[#This Row],[Task Name]]="","",IF(N(Tasks[[#This Row],[Baseline Start]])&gt;0,Tasks[[#This Row],[Baseline Start]],Tasks[[#This Row],[_CalcStart]]))</f>
        <v/>
      </c>
      <c r="AR171" s="62" t="str">
        <f aca="false">IF(Tasks[[#This Row],[Task Name]]="","",IF(N(Tasks[[#This Row],[Baseline Finish]])&gt;0,Tasks[[#This Row],[Baseline Finish]],Tasks[[#This Row],[_CalcFinish]]))</f>
        <v/>
      </c>
      <c r="AS171" s="46" t="str">
        <f aca="false">IF(Tasks[[#This Row],[Task Name]]="","",IF(Tasks[[#This Row],[Start]]&gt;=Tasks[[#This Row],[Planned Start]],NETWORKDAYS.INTL(Tasks[[#This Row],[Planned Start]],Tasks[[#This Row],[Start]],WorkWeek,Holidays)-1,1-NETWORKDAYS.INTL(Tasks[[#This Row],[Start]],Tasks[[#This Row],[Planned Start]],WorkWeek,Holidays)))</f>
        <v/>
      </c>
      <c r="AT171" s="62" t="str">
        <f aca="false">IF(Tasks[[#This Row],[Task Name]]="","",IF(Tasks[[#This Row],[_IsSummary]],MIN(INDEX(Tasks[_LeafLateStart],Tasks[[#This Row],[_Row]]+1):INDEX(Tasks[_LeafLateStart],Tasks[[#This Row],[_Row]]+Tasks[[#This Row],[_Descendants]])),Tasks[[#This Row],[_LeafLateStart]]))</f>
        <v/>
      </c>
      <c r="AU171" s="62" t="str">
        <f aca="false">IF(Tasks[[#This Row],[Task Name]]="","",IF(Tasks[[#This Row],[_IsSummary]],MAX(INDEX(Tasks[_LeafLateFinish],Tasks[[#This Row],[_Row]]+1):INDEX(Tasks[_LeafLateFinish],Tasks[[#This Row],[_Row]]+Tasks[[#This Row],[_Descendants]])),Tasks[[#This Row],[_LeafLateFinish]]))</f>
        <v/>
      </c>
      <c r="AV171" s="46"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4"/>
      <c r="BA1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5"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6"/>
      <c r="BJ171" s="22"/>
      <c r="BK171" s="46" t="str">
        <f aca="false">IF(OR(Tasks[[#This Row],[Task Name]]="",Tasks[[#This Row],[Baseline Duration]]=""),"",Tasks[[#This Row],[_SpanDays]]-N(Tasks[[#This Row],[Baseline Duration]]))</f>
        <v/>
      </c>
      <c r="BL171" s="85" t="str">
        <f aca="false">IF(OR(Tasks[[#This Row],[Task Name]]="",Tasks[[#This Row],[Baseline Work]]=""),"",Tasks[[#This Row],[Work]]-N(Tasks[[#This Row],[Baseline Work]]))</f>
        <v/>
      </c>
      <c r="BM171" s="62" t="str">
        <f aca="false">IF(Tasks[[#This Row],[Task Name]]="","",IF(OR(TakeBaseline="Yes",N(Tasks[[#This Row],[Baseline Start]])=0),Tasks[[#This Row],[Start]],Tasks[[#This Row],[Baseline Start]]))</f>
        <v/>
      </c>
      <c r="BN171" s="62"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5" t="str">
        <f aca="false">IF(Tasks[[#This Row],[Task Name]]="","",IF(OR(TakeBaseline="Yes",N(Tasks[[#This Row],[Baseline Work]])=0),Tasks[[#This Row],[Work]],Tasks[[#This Row],[Baseline Work]]))</f>
        <v/>
      </c>
      <c r="BQ171" s="7"/>
      <c r="BR171" s="7"/>
      <c r="BS171" s="22"/>
      <c r="BT171" s="87"/>
      <c r="BU171" s="42" t="str">
        <f aca="false">IF(Tasks[[#This Row],[Task Name]]="","",MAX(1,N(Tasks[[#This Row],[Level]])))</f>
        <v/>
      </c>
      <c r="BV171" s="42" t="n">
        <f aca="false">ROW()-ROW(Tasks[[#Headers],[ID]])</f>
        <v>166</v>
      </c>
      <c r="BW171" s="42" t="n">
        <f aca="false">IF(OR(Tasks[[#This Row],[Task Name]]="",Tasks[[#This Row],[_Level]]&lt;=1),0,IFERROR(LOOKUP(2,1/(Tasks[[#Headers],[_Level]]:Tasks[[#This Row],[_Level]]=Tasks[[#This Row],[_Level]]-1),ROW(Tasks[[#Headers],[_Level]]:Tasks[[#This Row],[_Level]])),0))</f>
        <v>0</v>
      </c>
      <c r="BX171" s="42" t="n">
        <f aca="false">IFERROR(N(INDEX(Tasks[_Level],Tasks[[#This Row],[_Row]]+1)),0)</f>
        <v>0</v>
      </c>
      <c r="BY171" s="88" t="b">
        <f aca="false">AND(Tasks[[#This Row],[Task Name]]&lt;&gt;"",Tasks[[#This Row],[_NextLevel]]&gt;Tasks[[#This Row],[_Level]])</f>
        <v>0</v>
      </c>
      <c r="BZ171" s="42" t="n">
        <f aca="false">IF(Tasks[[#This Row],[_IsSummary]],COUNTIF(Tasks[WBS],Tasks[[#This Row],[WBS]]&amp;".*"),0)</f>
        <v>0</v>
      </c>
      <c r="CA171" s="42" t="n">
        <f aca="false">IF(AND(Tasks[[#This Row],[Task Name]]&lt;&gt;"",NOT(Tasks[[#This Row],[_IsSummary]])),1,0)</f>
        <v>0</v>
      </c>
      <c r="CB171" s="42" t="n">
        <f aca="false">IF(N(Tasks[[#This Row],[_Pred1UID]])=0,0,IFERROR(MATCH(Tasks[[#This Row],[_Pred1UID]],Tasks[UID],0),-1))</f>
        <v>0</v>
      </c>
      <c r="CC171" s="42" t="n">
        <f aca="false">IF(N(Tasks[[#This Row],[_Pred2UID]])=0,0,IFERROR(MATCH(Tasks[[#This Row],[_Pred2UID]],Tasks[UID],0),-1))</f>
        <v>0</v>
      </c>
      <c r="CD171" s="42" t="n">
        <f aca="false">IF(N(Tasks[[#This Row],[_Pred3UID]])=0,0,IFERROR(MATCH(Tasks[[#This Row],[_Pred3UID]],Tasks[UID],0),-1))</f>
        <v>0</v>
      </c>
      <c r="CE171" s="42" t="n">
        <f aca="false">IF(N(Tasks[[#This Row],[_Pred4UID]])=0,0,IFERROR(MATCH(Tasks[[#This Row],[_Pred4UID]],Tasks[UID],0),-1))</f>
        <v>0</v>
      </c>
      <c r="CF1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1" s="89" t="n">
        <f aca="false">IF(OR(Tasks[[#This Row],[_ConstraintCode]]=2,Tasks[[#This Row],[_ConstraintCode]]=3,Tasks[[#This Row],[_ConstraintCode]]=4,Tasks[[#This Row],[_ConstraintCode]]=6),Tasks[[#This Row],[_ConstraintStart]],0)</f>
        <v>0</v>
      </c>
      <c r="CI171" s="89" t="n">
        <f aca="false">IF(OR(Tasks[[#This Row],[_ConstraintCode]]=2,Tasks[[#This Row],[_ConstraintCode]]=3,Tasks[[#This Row],[_ConstraintCode]]=5,Tasks[[#This Row],[_ConstraintCode]]=7),Tasks[[#This Row],[_ConstraintStart]],2958465)</f>
        <v>2958465</v>
      </c>
      <c r="CJ1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1" s="89" t="str">
        <f aca="false">IF(NOT(Tasks[[#This Row],[_IsLeaf]]=1),"",IF(N(Tasks[[#This Row],[_Days]])&lt;=0,Tasks[[#This Row],[_LeafCalcStart]],WORKDAY.INTL(Tasks[[#This Row],[_LeafCalcStart]],Tasks[[#This Row],[_Days]]-1,WorkWeek,Holidays)))</f>
        <v/>
      </c>
      <c r="CL1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1" s="42" t="str">
        <f aca="false">IF(Tasks[[#This Row],[_Predecessors]]="","",TRIM(MID(SUBSTITUTE(SUBSTITUTE(SUBSTITUTE(UPPER(Tasks[[#This Row],[_Predecessors]]),";",",")," ",""),",",REPT(" ",99)),1,99)))</f>
        <v/>
      </c>
      <c r="CO171" s="42" t="str">
        <f aca="false">IF(Tasks[[#This Row],[_Pred1Text]]="","",IFERROR(VALUE(LEFT(Tasks[[#This Row],[_Pred1Text]],MIN(FIND("F",Tasks[[#This Row],[_Pred1Text]]&amp;"F"),FIND("S",Tasks[[#This Row],[_Pred1Text]]&amp;"S"),FIND("+",Tasks[[#This Row],[_Pred1Text]]&amp;"+"),FIND("-",Tasks[[#This Row],[_Pred1Text]]&amp;"-"))-1)),""))</f>
        <v/>
      </c>
      <c r="CP1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1" s="42" t="str">
        <f aca="false">IF(Tasks[[#This Row],[_Pred1Text]]="","",TRIM(MID(SUBSTITUTE(SUBSTITUTE(SUBSTITUTE(UPPER(Tasks[[#This Row],[_Predecessors]]),";",",")," ",""),",",REPT(" ",99)),100,99)))</f>
        <v/>
      </c>
      <c r="CS171" s="42" t="str">
        <f aca="false">IF(Tasks[[#This Row],[_Pred2Text]]="","",IFERROR(VALUE(LEFT(Tasks[[#This Row],[_Pred2Text]],MIN(FIND("F",Tasks[[#This Row],[_Pred2Text]]&amp;"F"),FIND("S",Tasks[[#This Row],[_Pred2Text]]&amp;"S"),FIND("+",Tasks[[#This Row],[_Pred2Text]]&amp;"+"),FIND("-",Tasks[[#This Row],[_Pred2Text]]&amp;"-"))-1)),""))</f>
        <v/>
      </c>
      <c r="CT1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1" s="42" t="str">
        <f aca="false">IF(Tasks[[#This Row],[_Pred2Text]]="","",TRIM(MID(SUBSTITUTE(SUBSTITUTE(SUBSTITUTE(UPPER(Tasks[[#This Row],[_Predecessors]]),";",",")," ",""),",",REPT(" ",99)),199,99)))</f>
        <v/>
      </c>
      <c r="CW171" s="42" t="str">
        <f aca="false">IF(Tasks[[#This Row],[_Pred3Text]]="","",IFERROR(VALUE(LEFT(Tasks[[#This Row],[_Pred3Text]],MIN(FIND("F",Tasks[[#This Row],[_Pred3Text]]&amp;"F"),FIND("S",Tasks[[#This Row],[_Pred3Text]]&amp;"S"),FIND("+",Tasks[[#This Row],[_Pred3Text]]&amp;"+"),FIND("-",Tasks[[#This Row],[_Pred3Text]]&amp;"-"))-1)),""))</f>
        <v/>
      </c>
      <c r="CX1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1" s="42" t="str">
        <f aca="false">IF(Tasks[[#This Row],[_Pred3Text]]="","",TRIM(MID(SUBSTITUTE(SUBSTITUTE(SUBSTITUTE(UPPER(Tasks[[#This Row],[_Predecessors]]),";",",")," ",""),",",REPT(" ",99)),298,99)))</f>
        <v/>
      </c>
      <c r="DA171" s="42" t="str">
        <f aca="false">IF(Tasks[[#This Row],[_Pred4Text]]="","",IFERROR(VALUE(LEFT(Tasks[[#This Row],[_Pred4Text]],MIN(FIND("F",Tasks[[#This Row],[_Pred4Text]]&amp;"F"),FIND("S",Tasks[[#This Row],[_Pred4Text]]&amp;"S"),FIND("+",Tasks[[#This Row],[_Pred4Text]]&amp;"+"),FIND("-",Tasks[[#This Row],[_Pred4Text]]&amp;"-"))-1)),""))</f>
        <v/>
      </c>
      <c r="DB1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1" s="42" t="str">
        <f aca="false">IF(OR(Tasks[[#This Row],[Task Name]]="",Tasks[[#This Row],[_Resources]]=""),"",TRIM(MID(SUBSTITUTE(Tasks[[#This Row],[_Resources]],",",REPT(" ",99)),1,99)))</f>
        <v/>
      </c>
      <c r="DE171" s="42" t="str">
        <f aca="false">IF(Tasks[[#This Row],[_Res1Text]]="","",TRIM(MID(SUBSTITUTE(Tasks[[#This Row],[_Resources]],",",REPT(" ",99)),100,99)))</f>
        <v/>
      </c>
      <c r="DF171" s="42" t="str">
        <f aca="false">IF(Tasks[[#This Row],[_Res2Text]]="","",TRIM(MID(SUBSTITUTE(Tasks[[#This Row],[_Resources]],",",REPT(" ",99)),199,99)))</f>
        <v/>
      </c>
      <c r="DG171" s="42" t="str">
        <f aca="false">IF(Tasks[[#This Row],[_Res3Text]]="","",TRIM(MID(SUBSTITUTE(Tasks[[#This Row],[_Resources]],",",REPT(" ",99)),298,99)))</f>
        <v/>
      </c>
      <c r="DH171" s="42" t="n">
        <f aca="false">IF(Tasks[[#This Row],[_Res1Text]]="",0,IFERROR(MATCH(TRIM(LEFT(Tasks[[#This Row],[_Res1Text]],FIND("[",Tasks[[#This Row],[_Res1Text]]&amp;"[")-1)),res_Name,0),IFERROR(MATCH(TRIM(LEFT(Tasks[[#This Row],[_Res1Text]],FIND("[",Tasks[[#This Row],[_Res1Text]]&amp;"[")-1)),res_Initials,0),0)))</f>
        <v>0</v>
      </c>
      <c r="DI171" s="42" t="n">
        <f aca="false">IF(Tasks[[#This Row],[_Res2Text]]="",0,IFERROR(MATCH(TRIM(LEFT(Tasks[[#This Row],[_Res2Text]],FIND("[",Tasks[[#This Row],[_Res2Text]]&amp;"[")-1)),res_Name,0),IFERROR(MATCH(TRIM(LEFT(Tasks[[#This Row],[_Res2Text]],FIND("[",Tasks[[#This Row],[_Res2Text]]&amp;"[")-1)),res_Initials,0),0)))</f>
        <v>0</v>
      </c>
      <c r="DJ171" s="42" t="n">
        <f aca="false">IF(Tasks[[#This Row],[_Res3Text]]="",0,IFERROR(MATCH(TRIM(LEFT(Tasks[[#This Row],[_Res3Text]],FIND("[",Tasks[[#This Row],[_Res3Text]]&amp;"[")-1)),res_Name,0),IFERROR(MATCH(TRIM(LEFT(Tasks[[#This Row],[_Res3Text]],FIND("[",Tasks[[#This Row],[_Res3Text]]&amp;"[")-1)),res_Initials,0),0)))</f>
        <v>0</v>
      </c>
      <c r="DK171" s="42" t="n">
        <f aca="false">IF(Tasks[[#This Row],[_Res4Text]]="",0,IFERROR(MATCH(TRIM(LEFT(Tasks[[#This Row],[_Res4Text]],FIND("[",Tasks[[#This Row],[_Res4Text]]&amp;"[")-1)),res_Name,0),IFERROR(MATCH(TRIM(LEFT(Tasks[[#This Row],[_Res4Text]],FIND("[",Tasks[[#This Row],[_Res4Text]]&amp;"[")-1)),res_Initials,0),0)))</f>
        <v>0</v>
      </c>
      <c r="DL171" s="42" t="str">
        <f aca="false">IF(Tasks[[#This Row],[_Res1Text]]="","",IF(Tasks[[#This Row],[_Res1Row]]&gt;0,INDEX(res_Name,Tasks[[#This Row],[_Res1Row]]),TRIM(LEFT(Tasks[[#This Row],[_Res1Text]],FIND("[",Tasks[[#This Row],[_Res1Text]]&amp;"[")-1))))</f>
        <v/>
      </c>
      <c r="DM1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1" s="42" t="n">
        <f aca="false">IF(NOT(Tasks[[#This Row],[_IsLeaf]]=1),0,(Tasks[[#This Row],[_Resource1]]&lt;&gt;"")+(Tasks[[#This Row],[_Res2]]&lt;&gt;"")+(Tasks[[#This Row],[_Res3]]&lt;&gt;"")+(Tasks[[#This Row],[_Res4]]&lt;&gt;""))</f>
        <v>0</v>
      </c>
      <c r="DO171" s="42" t="str">
        <f aca="false">IF(Tasks[[#This Row],[_Res2Text]]="","",IF(Tasks[[#This Row],[_Res2Row]]&gt;0,INDEX(res_Name,Tasks[[#This Row],[_Res2Row]]),TRIM(LEFT(Tasks[[#This Row],[_Res2Text]],FIND("[",Tasks[[#This Row],[_Res2Text]]&amp;"[")-1))))</f>
        <v/>
      </c>
      <c r="DP1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1" s="42" t="n">
        <f aca="false">IF(OR(NOT(Tasks[[#This Row],[_IsLeaf]]=1),Tasks[[#This Row],[_Res2Row]]=0),0,N(Tasks[[#This Row],[_Days]])*HoursPerDay*IF(Tasks[[#This Row],[_Res2Units]]="",DefaultUnits,Tasks[[#This Row],[_Res2Units]]))</f>
        <v>0</v>
      </c>
      <c r="DR171" s="42" t="n">
        <f aca="false">IF(AND(AND(Tasks[[#This Row],[_IsLeaf]]=1,Tasks[[#This Row],[_LeafTotalWork]]&gt;0),Tasks[[#This Row],[_Res2Work]]&gt;0),Tasks[[#This Row],[_Res2Work]]/(Tasks[[#This Row],[_FinishWorkday]]-Tasks[[#This Row],[_StartWorkday]]+1),0)</f>
        <v>0</v>
      </c>
      <c r="DS171" s="42" t="n">
        <f aca="false">Tasks[[#This Row],[_Res2WorkPerWD]]*MAX(0,Tasks[[#This Row],[_StartWorkday]]-1)</f>
        <v>0</v>
      </c>
      <c r="DT171" s="42" t="n">
        <f aca="false">Tasks[[#This Row],[_Res2Work]]*Tasks[[#This Row],[_LeafProgress]]</f>
        <v>0</v>
      </c>
      <c r="DU171" s="42" t="str">
        <f aca="false">IF(Tasks[[#This Row],[_Res3Text]]="","",IF(Tasks[[#This Row],[_Res3Row]]&gt;0,INDEX(res_Name,Tasks[[#This Row],[_Res3Row]]),TRIM(LEFT(Tasks[[#This Row],[_Res3Text]],FIND("[",Tasks[[#This Row],[_Res3Text]]&amp;"[")-1))))</f>
        <v/>
      </c>
      <c r="DV1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1" s="42" t="n">
        <f aca="false">IF(OR(NOT(Tasks[[#This Row],[_IsLeaf]]=1),Tasks[[#This Row],[_Res3Row]]=0),0,N(Tasks[[#This Row],[_Days]])*HoursPerDay*IF(Tasks[[#This Row],[_Res3Units]]="",DefaultUnits,Tasks[[#This Row],[_Res3Units]]))</f>
        <v>0</v>
      </c>
      <c r="DX171" s="42" t="n">
        <f aca="false">IF(AND(AND(Tasks[[#This Row],[_IsLeaf]]=1,Tasks[[#This Row],[_LeafTotalWork]]&gt;0),Tasks[[#This Row],[_Res3Work]]&gt;0),Tasks[[#This Row],[_Res3Work]]/(Tasks[[#This Row],[_FinishWorkday]]-Tasks[[#This Row],[_StartWorkday]]+1),0)</f>
        <v>0</v>
      </c>
      <c r="DY171" s="42" t="n">
        <f aca="false">Tasks[[#This Row],[_Res3WorkPerWD]]*MAX(0,Tasks[[#This Row],[_StartWorkday]]-1)</f>
        <v>0</v>
      </c>
      <c r="DZ171" s="42" t="n">
        <f aca="false">Tasks[[#This Row],[_Res3Work]]*Tasks[[#This Row],[_LeafProgress]]</f>
        <v>0</v>
      </c>
      <c r="EA171" s="42" t="str">
        <f aca="false">IF(Tasks[[#This Row],[_Res4Text]]="","",IF(Tasks[[#This Row],[_Res4Row]]&gt;0,INDEX(res_Name,Tasks[[#This Row],[_Res4Row]]),TRIM(LEFT(Tasks[[#This Row],[_Res4Text]],FIND("[",Tasks[[#This Row],[_Res4Text]]&amp;"[")-1))))</f>
        <v/>
      </c>
      <c r="EB1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1" s="42" t="n">
        <f aca="false">IF(OR(NOT(Tasks[[#This Row],[_IsLeaf]]=1),Tasks[[#This Row],[_Res4Row]]=0),0,N(Tasks[[#This Row],[_Days]])*HoursPerDay*IF(Tasks[[#This Row],[_Res4Units]]="",DefaultUnits,Tasks[[#This Row],[_Res4Units]]))</f>
        <v>0</v>
      </c>
      <c r="ED171" s="42" t="n">
        <f aca="false">IF(AND(AND(Tasks[[#This Row],[_IsLeaf]]=1,Tasks[[#This Row],[_LeafTotalWork]]&gt;0),Tasks[[#This Row],[_Res4Work]]&gt;0),Tasks[[#This Row],[_Res4Work]]/(Tasks[[#This Row],[_FinishWorkday]]-Tasks[[#This Row],[_StartWorkday]]+1),0)</f>
        <v>0</v>
      </c>
      <c r="EE171" s="42" t="n">
        <f aca="false">Tasks[[#This Row],[_Res4WorkPerWD]]*MAX(0,Tasks[[#This Row],[_StartWorkday]]-1)</f>
        <v>0</v>
      </c>
      <c r="EF171" s="42" t="n">
        <f aca="false">Tasks[[#This Row],[_Res4Work]]*Tasks[[#This Row],[_LeafProgress]]</f>
        <v>0</v>
      </c>
      <c r="EG171" s="42" t="n">
        <f aca="false">IF(ISNUMBER(Tasks[[#This Row],[% Complete]]),Tasks[[#This Row],[% Complete]],IF(Tasks[[#This Row],[Stage]]="",0,IFERROR(INDEX(stg_Pct,MATCH(Tasks[[#This Row],[Stage]],stg_Name,0)),0)))</f>
        <v>0</v>
      </c>
      <c r="EH171" s="42" t="n">
        <f aca="false">IF(NOT(Tasks[[#This Row],[_IsLeaf]]=1),0,IF(N(Tasks[[#This Row],[Actual Finish]])&gt;0,1,MIN(1,Tasks[[#This Row],[_Pct]])))</f>
        <v>0</v>
      </c>
      <c r="EI171" s="42" t="n">
        <f aca="false">IF(OR(NOT(Tasks[[#This Row],[_IsLeaf]]=1),Tasks[[#This Row],[_Res1Row]]=0),0,N(Tasks[[#This Row],[_Days]])*HoursPerDay*IF(Tasks[[#This Row],[_Units1]]="",DefaultUnits,Tasks[[#This Row],[_Units1]]))</f>
        <v>0</v>
      </c>
      <c r="EJ171" s="42" t="n">
        <f aca="false">Tasks[[#This Row],[_LeafWork]]+Tasks[[#This Row],[_Res2Work]]+Tasks[[#This Row],[_Res3Work]]+Tasks[[#This Row],[_Res4Work]]</f>
        <v>0</v>
      </c>
      <c r="EK1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1" s="42" t="n">
        <f aca="false">IF(NOT(Tasks[[#This Row],[_IsLeaf]]=1),0,MAX(_xlfn.MAXIFS(Tasks[_Row],Tasks[_Pred1UID],Tasks[[#This Row],[UID]]),_xlfn.MAXIFS(Tasks[_Row],Tasks[_Pred2UID],Tasks[[#This Row],[UID]]),_xlfn.MAXIFS(Tasks[_Row],Tasks[_Pred3UID],Tasks[[#This Row],[UID]]),_xlfn.MAXIFS(Tasks[_Row],Tasks[_Pred4UID],Tasks[[#This Row],[UID]])))</f>
        <v>0</v>
      </c>
      <c r="ET1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1" s="89" t="str">
        <f aca="false">IF(NOT(Tasks[[#This Row],[_IsLeaf]]=1),"",IF(N(Tasks[[#This Row],[_Days]])&lt;=0,Tasks[[#This Row],[_LeafLateFinish]],WORKDAY.INTL(Tasks[[#This Row],[_LeafLateFinish]],-(Tasks[[#This Row],[_Days]]-1),WorkWeek,Holidays)))</f>
        <v/>
      </c>
      <c r="EW1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1" s="88" t="b">
        <f aca="false">AND(Tasks[[#This Row],[_IsLeaf]]=1,Tasks[[#This Row],[_LeafProgress]]&lt;1,N(Tasks[[#This Row],[_LeafTotalSlack]])&lt;=CriticalSlackDays)</f>
        <v>0</v>
      </c>
      <c r="EY171" s="42" t="n">
        <f aca="false">IF(AND(Tasks[[#This Row],[_IsLeaf]]=1,Tasks[[#This Row],[_ConstraintCode]]=1,Tasks[[#This Row],[Mode]]&lt;&gt;"Manual",N(Tasks[[#This Row],[Actual Start]])=0),MAX(0,N(Tasks[[#This Row],[Free Slack]])),0)</f>
        <v>0</v>
      </c>
      <c r="EZ171" s="89" t="str">
        <f aca="false">IF(NOT(Tasks[[#This Row],[_IsLeaf]]=1),"",IF(Tasks[[#This Row],[_AlapShift]]=0,Tasks[[#This Row],[_LeafCalcStart]],WORKDAY.INTL(Tasks[[#This Row],[_LeafCalcStart]],Tasks[[#This Row],[_AlapShift]],WorkWeek,Holidays)))</f>
        <v/>
      </c>
      <c r="FA171" s="89" t="str">
        <f aca="false">IF(NOT(Tasks[[#This Row],[_IsLeaf]]=1),"",IF(Tasks[[#This Row],[_AlapShift]]=0,Tasks[[#This Row],[_LeafCalcFinish]],WORKDAY.INTL(Tasks[[#This Row],[_LeafCalcFinish]],Tasks[[#This Row],[_AlapShift]],WorkWeek,Holidays)))</f>
        <v/>
      </c>
      <c r="FB171" s="89" t="str">
        <f aca="false">IF(NOT(Tasks[[#This Row],[_IsLeaf]]=1),"",IF(Tasks[[#This Row],[_AlapShift]]=0,Tasks[[#This Row],[_LeafFcstStart]],WORKDAY.INTL(Tasks[[#This Row],[_LeafFcstStart]],Tasks[[#This Row],[_AlapShift]],WorkWeek,Holidays)))</f>
        <v/>
      </c>
      <c r="FC171" s="89" t="str">
        <f aca="false">IF(NOT(Tasks[[#This Row],[_IsLeaf]]=1),"",IF(Tasks[[#This Row],[_AlapShift]]=0,Tasks[[#This Row],[_LeafFcstFinish]],WORKDAY.INTL(Tasks[[#This Row],[_LeafFcstFinish]],Tasks[[#This Row],[_AlapShift]],WorkWeek,Holidays)))</f>
        <v/>
      </c>
      <c r="FD171" s="89" t="str">
        <f aca="false">IF(Tasks[[#This Row],[Task Name]]="","",IF(Tasks[[#This Row],[_IsSummary]],MIN(INDEX(Tasks[_ShownCalcStart],Tasks[[#This Row],[_Row]]+1):INDEX(Tasks[_ShownCalcStart],Tasks[[#This Row],[_Row]]+Tasks[[#This Row],[_Descendants]])),Tasks[[#This Row],[_ShownCalcStart]]))</f>
        <v/>
      </c>
      <c r="FE171" s="89" t="str">
        <f aca="false">IF(Tasks[[#This Row],[Task Name]]="","",IF(Tasks[[#This Row],[_IsSummary]],MAX(INDEX(Tasks[_ShownCalcFinish],Tasks[[#This Row],[_Row]]+1):INDEX(Tasks[_ShownCalcFinish],Tasks[[#This Row],[_Row]]+Tasks[[#This Row],[_Descendants]])),Tasks[[#This Row],[_ShownCalcFinish]]))</f>
        <v/>
      </c>
      <c r="FF1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1" s="42" t="n">
        <f aca="false">IF(AND(Tasks[[#This Row],[_IsLeaf]]=1,Tasks[[#This Row],[_LeafTotalWork]]&gt;0),NETWORKDAYS.INTL(ProjectStart,Tasks[[#This Row],[_ShownFcstStart]],WorkWeek,Holidays),0)</f>
        <v>0</v>
      </c>
      <c r="FS171" s="42" t="n">
        <f aca="false">IF(AND(Tasks[[#This Row],[_IsLeaf]]=1,Tasks[[#This Row],[_LeafTotalWork]]&gt;0),MAX(Tasks[[#This Row],[_StartWorkday]],NETWORKDAYS.INTL(ProjectStart,Tasks[[#This Row],[_ShownFcstFinish]],WorkWeek,Holidays)),0)</f>
        <v>0</v>
      </c>
      <c r="FT171" s="42" t="n">
        <f aca="false">IF(AND(Tasks[[#This Row],[_IsLeaf]]=1,Tasks[[#This Row],[_LeafTotalWork]]&gt;0),Tasks[[#This Row],[_LeafWork]]/(Tasks[[#This Row],[_FinishWorkday]]-Tasks[[#This Row],[_StartWorkday]]+1),0)</f>
        <v>0</v>
      </c>
      <c r="FU171" s="42" t="n">
        <f aca="false">Tasks[[#This Row],[_WorkPerWorkday]]*(Tasks[[#This Row],[_StartWorkday]]-1)</f>
        <v>-0</v>
      </c>
      <c r="FV171" s="42" t="n">
        <f aca="false">IF(Tasks[[#This Row],[_IsLeaf]]=1,MAX(N(Tasks[[#This Row],[_Days]]),0.1),0)</f>
        <v>0</v>
      </c>
      <c r="FW171" s="42" t="n">
        <f aca="false">Tasks[[#This Row],[_WeightDur]]*Tasks[[#This Row],[_LeafProgress]]</f>
        <v>0</v>
      </c>
      <c r="FX171" s="42" t="n">
        <f aca="false">Tasks[[#This Row],[_WeightDur]]*Tasks[[#This Row],[_PlannedPct]]</f>
        <v>0</v>
      </c>
      <c r="FY1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1" s="42" t="str">
        <f aca="false">IF(AND(Tasks[[#This Row],[_IsLeaf]]=1,N(Tasks[[#This Row],[_Days]])=0,Tasks[[#This Row],[_LeafProgress]]&lt;1),Tasks[[#This Row],[_ShownFcstFinish]]+Tasks[[#This Row],[_Row]]/100000,"")</f>
        <v/>
      </c>
      <c r="GA1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1" s="42" t="str">
        <f aca="false">IF(Tasks[[#This Row],[Task Name]]="","",LEFT(Tasks[[#This Row],[WBS]],FIND(".",Tasks[[#This Row],[WBS]]&amp;".")-1))</f>
        <v/>
      </c>
      <c r="GC171" s="42" t="str">
        <f aca="false">IF(AND(Tasks[[#This Row],[Task Name]]&lt;&gt;"",Tasks[[#This Row],[_Level]]=1),Tasks[[#This Row],[_Row]],"")</f>
        <v/>
      </c>
      <c r="GD171" s="42" t="str">
        <f aca="false">IF(AND(Tasks[[#This Row],[_IsLeaf]]=1,N(Tasks[[#This Row],[_Days]])=0),Tasks[[#This Row],[Planned Finish]]+Tasks[[#This Row],[_Row]]/100000,"")</f>
        <v/>
      </c>
      <c r="GE171" s="42" t="str">
        <f aca="false">IF(AND(Tasks[[#This Row],[_IsLeaf]]=1,Tasks[[#This Row],[_LeafProgress]]&lt;1,OR(N(Tasks[[#This Row],[Finish Var]])&gt;0,Tasks[[#This Row],[Status]]="Late Start")),MAX(0,Tasks[[#This Row],[Finish Var]])+1-Tasks[[#This Row],[_Row]]/1000000,"")</f>
        <v/>
      </c>
      <c r="GF171" s="42" t="str">
        <f aca="false">IF(AND(Tasks[[#This Row],[_IsLeaf]]=1,N(Tasks[[#This Row],[Actual Start]])=0,Tasks[[#This Row],[_ShownFcstStart]]&gt;=StatusDate,Tasks[[#This Row],[_ShownFcstStart]]&lt;=LookaheadEnd),Tasks[[#This Row],[_ShownFcstStart]]+Tasks[[#This Row],[_Row]]/100000,"")</f>
        <v/>
      </c>
      <c r="GG171" s="42" t="str">
        <f aca="false">IF(AND(Tasks[[#This Row],[_IsLeaf]]=1,Tasks[[#This Row],[_LeafProgress]]&lt;1,Tasks[[#This Row],[_ShownFcstFinish]]&gt;=StatusDate,Tasks[[#This Row],[_ShownFcstFinish]]&lt;=LookaheadEnd),Tasks[[#This Row],[_ShownFcstFinish]]+Tasks[[#This Row],[_Row]]/100000,"")</f>
        <v/>
      </c>
      <c r="GH171" s="42" t="str">
        <f aca="false">IF(Tasks[[#This Row],[_LeafCritical]],Tasks[[#This Row],[_ShownFcstStart]]+Tasks[[#This Row],[_Row]]/100000,"")</f>
        <v/>
      </c>
      <c r="GI171" s="42" t="n">
        <f aca="false">Tasks[[#This Row],[_LeafWork]]*Tasks[[#This Row],[_LeafProgress]]</f>
        <v>0</v>
      </c>
      <c r="GJ171" s="89" t="str">
        <f aca="false">IF(AND(Tasks[[#This Row],[_IsLeaf]]=1,Tasks[[#This Row],[_LeafProgress]]&gt;=1),IF(N(Tasks[[#This Row],[Actual Finish]])&gt;0,Tasks[[#This Row],[Actual Finish]],Tasks[[#This Row],[_ShownFcstFinish]]),"")</f>
        <v/>
      </c>
      <c r="GK171" s="42" t="n">
        <f aca="false">IF(Tasks[[#This Row],[_IsLeaf]]=1,N(Tasks[[#This Row],[Story Points]]),0)</f>
        <v>0</v>
      </c>
      <c r="GL171" s="42" t="str">
        <f aca="false">""</f>
        <v/>
      </c>
      <c r="GM171" s="88" t="b">
        <f aca="false">IF(Tasks[[#This Row],[Task Name]]="",FALSE(),AND(Tasks[[#This Row],[_IsLeaf]]=1,N(Tasks[[#This Row],[_Days]])=0))</f>
        <v>0</v>
      </c>
      <c r="GN171" s="89" t="n">
        <f aca="false">IF(Tasks[[#This Row],[Task Name]]="",0,IF(AND(Tasks[[#This Row],[_IsLeaf]]=1,NOT(Tasks[[#This Row],[_IsMilestone]]),N(Tasks[[#This Row],[Progress]])&gt;0),Tasks[[#This Row],[Start]],0))</f>
        <v>0</v>
      </c>
      <c r="GO171" s="89" t="n">
        <f aca="false">IF(Tasks[[#This Row],[_DoneFrom]]=0,0,IF(Tasks[[#This Row],[Progress]]&gt;=1,Tasks[[#This Row],[Finish]],MAX(Tasks[[#This Row],[_DoneFrom]],Tasks[[#This Row],[Start]]+ROUND((Tasks[[#This Row],[Finish]]-Tasks[[#This Row],[Start]]+1)*Tasks[[#This Row],[Progress]],0)-1)))</f>
        <v>0</v>
      </c>
      <c r="GP171" s="89" t="n">
        <f aca="false">IF(Tasks[[#This Row],[Task Name]]="",0,IF(OR(NOT(Tasks[[#This Row],[_IsLeaf]]=1),Tasks[[#This Row],[_IsMilestone]],N(Tasks[[#This Row],[Progress]])&gt;=1),0,IF(Tasks[[#This Row],[_DoneTo]]&gt;0,Tasks[[#This Row],[_DoneTo]]+1,Tasks[[#This Row],[Start]])))</f>
        <v>0</v>
      </c>
      <c r="GQ171" s="89" t="n">
        <f aca="false">IF(Tasks[[#This Row],[_RemFrom]]=0,0,Tasks[[#This Row],[Finish]])</f>
        <v>0</v>
      </c>
      <c r="GR171" s="88" t="b">
        <f aca="false">IF(Tasks[[#This Row],[Task Name]]="",FALSE(),OR(NOT(BaselineSet),N(Tasks[[#This Row],[Baseline Start]])&gt;0))</f>
        <v>0</v>
      </c>
      <c r="GS1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1" s="90" t="str">
        <f aca="false">IF(Tasks[[#This Row],[_IsLeaf]]=1,Tasks[[#This Row],[_Row]],"")</f>
        <v/>
      </c>
      <c r="GW171" s="90" t="str">
        <f aca="false">IFERROR(INDEX(Tasks[UID],SMALL(Tasks[_PickKey],Tasks[[#This Row],[_Row]]))&amp;" "&amp;INDEX(Tasks[Task Name],SMALL(Tasks[_PickKey],Tasks[[#This Row],[_Row]])),"")</f>
        <v/>
      </c>
      <c r="GX171" s="42" t="str">
        <f aca="false">IF(Tasks[[#This Row],[Task Name]]="","",IF(Tasks[[#This Row],[_IsSummary]],NETWORKDAYS.INTL(Tasks[[#This Row],[Start]],Tasks[[#This Row],[Finish]],WorkWeek,Holidays),N(Tasks[[#This Row],[_Days]])))</f>
        <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3"/>
      <c r="U172" s="23"/>
      <c r="V172" s="83"/>
      <c r="W172" s="23"/>
      <c r="X172" s="83"/>
      <c r="Y172" s="23"/>
      <c r="Z172" s="83"/>
      <c r="AA172" s="23"/>
      <c r="AB172" s="23"/>
      <c r="AC172" s="7"/>
      <c r="AD172" s="7"/>
      <c r="AE172" s="62" t="str">
        <f aca="false">IF(Tasks[[#This Row],[Task Name]]="","",IF(Tasks[[#This Row],[_IsSummary]],MIN(INDEX(Tasks[_ShownFcstStart],Tasks[[#This Row],[_Row]]+1):INDEX(Tasks[_ShownFcstStart],Tasks[[#This Row],[_Row]]+Tasks[[#This Row],[_Descendants]])),Tasks[[#This Row],[_ShownFcstStart]]))</f>
        <v/>
      </c>
      <c r="AF172" s="62"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2" s="7"/>
      <c r="AK172" s="22"/>
      <c r="AL172" s="23"/>
      <c r="AM172" s="7"/>
      <c r="AN172" s="46"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2" t="str">
        <f aca="false">IF(Tasks[[#This Row],[Task Name]]="","",IF(N(Tasks[[#This Row],[Baseline Start]])&gt;0,Tasks[[#This Row],[Baseline Start]],Tasks[[#This Row],[_CalcStart]]))</f>
        <v/>
      </c>
      <c r="AR172" s="62" t="str">
        <f aca="false">IF(Tasks[[#This Row],[Task Name]]="","",IF(N(Tasks[[#This Row],[Baseline Finish]])&gt;0,Tasks[[#This Row],[Baseline Finish]],Tasks[[#This Row],[_CalcFinish]]))</f>
        <v/>
      </c>
      <c r="AS172" s="46" t="str">
        <f aca="false">IF(Tasks[[#This Row],[Task Name]]="","",IF(Tasks[[#This Row],[Start]]&gt;=Tasks[[#This Row],[Planned Start]],NETWORKDAYS.INTL(Tasks[[#This Row],[Planned Start]],Tasks[[#This Row],[Start]],WorkWeek,Holidays)-1,1-NETWORKDAYS.INTL(Tasks[[#This Row],[Start]],Tasks[[#This Row],[Planned Start]],WorkWeek,Holidays)))</f>
        <v/>
      </c>
      <c r="AT172" s="62" t="str">
        <f aca="false">IF(Tasks[[#This Row],[Task Name]]="","",IF(Tasks[[#This Row],[_IsSummary]],MIN(INDEX(Tasks[_LeafLateStart],Tasks[[#This Row],[_Row]]+1):INDEX(Tasks[_LeafLateStart],Tasks[[#This Row],[_Row]]+Tasks[[#This Row],[_Descendants]])),Tasks[[#This Row],[_LeafLateStart]]))</f>
        <v/>
      </c>
      <c r="AU172" s="62" t="str">
        <f aca="false">IF(Tasks[[#This Row],[Task Name]]="","",IF(Tasks[[#This Row],[_IsSummary]],MAX(INDEX(Tasks[_LeafLateFinish],Tasks[[#This Row],[_Row]]+1):INDEX(Tasks[_LeafLateFinish],Tasks[[#This Row],[_Row]]+Tasks[[#This Row],[_Descendants]])),Tasks[[#This Row],[_LeafLateFinish]]))</f>
        <v/>
      </c>
      <c r="AV172" s="46"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4"/>
      <c r="BA1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5"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6"/>
      <c r="BJ172" s="22"/>
      <c r="BK172" s="46" t="str">
        <f aca="false">IF(OR(Tasks[[#This Row],[Task Name]]="",Tasks[[#This Row],[Baseline Duration]]=""),"",Tasks[[#This Row],[_SpanDays]]-N(Tasks[[#This Row],[Baseline Duration]]))</f>
        <v/>
      </c>
      <c r="BL172" s="85" t="str">
        <f aca="false">IF(OR(Tasks[[#This Row],[Task Name]]="",Tasks[[#This Row],[Baseline Work]]=""),"",Tasks[[#This Row],[Work]]-N(Tasks[[#This Row],[Baseline Work]]))</f>
        <v/>
      </c>
      <c r="BM172" s="62" t="str">
        <f aca="false">IF(Tasks[[#This Row],[Task Name]]="","",IF(OR(TakeBaseline="Yes",N(Tasks[[#This Row],[Baseline Start]])=0),Tasks[[#This Row],[Start]],Tasks[[#This Row],[Baseline Start]]))</f>
        <v/>
      </c>
      <c r="BN172" s="62"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5" t="str">
        <f aca="false">IF(Tasks[[#This Row],[Task Name]]="","",IF(OR(TakeBaseline="Yes",N(Tasks[[#This Row],[Baseline Work]])=0),Tasks[[#This Row],[Work]],Tasks[[#This Row],[Baseline Work]]))</f>
        <v/>
      </c>
      <c r="BQ172" s="7"/>
      <c r="BR172" s="7"/>
      <c r="BS172" s="22"/>
      <c r="BT172" s="87"/>
      <c r="BU172" s="42" t="str">
        <f aca="false">IF(Tasks[[#This Row],[Task Name]]="","",MAX(1,N(Tasks[[#This Row],[Level]])))</f>
        <v/>
      </c>
      <c r="BV172" s="42" t="n">
        <f aca="false">ROW()-ROW(Tasks[[#Headers],[ID]])</f>
        <v>167</v>
      </c>
      <c r="BW172" s="42" t="n">
        <f aca="false">IF(OR(Tasks[[#This Row],[Task Name]]="",Tasks[[#This Row],[_Level]]&lt;=1),0,IFERROR(LOOKUP(2,1/(Tasks[[#Headers],[_Level]]:Tasks[[#This Row],[_Level]]=Tasks[[#This Row],[_Level]]-1),ROW(Tasks[[#Headers],[_Level]]:Tasks[[#This Row],[_Level]])),0))</f>
        <v>0</v>
      </c>
      <c r="BX172" s="42" t="n">
        <f aca="false">IFERROR(N(INDEX(Tasks[_Level],Tasks[[#This Row],[_Row]]+1)),0)</f>
        <v>0</v>
      </c>
      <c r="BY172" s="88" t="b">
        <f aca="false">AND(Tasks[[#This Row],[Task Name]]&lt;&gt;"",Tasks[[#This Row],[_NextLevel]]&gt;Tasks[[#This Row],[_Level]])</f>
        <v>0</v>
      </c>
      <c r="BZ172" s="42" t="n">
        <f aca="false">IF(Tasks[[#This Row],[_IsSummary]],COUNTIF(Tasks[WBS],Tasks[[#This Row],[WBS]]&amp;".*"),0)</f>
        <v>0</v>
      </c>
      <c r="CA172" s="42" t="n">
        <f aca="false">IF(AND(Tasks[[#This Row],[Task Name]]&lt;&gt;"",NOT(Tasks[[#This Row],[_IsSummary]])),1,0)</f>
        <v>0</v>
      </c>
      <c r="CB172" s="42" t="n">
        <f aca="false">IF(N(Tasks[[#This Row],[_Pred1UID]])=0,0,IFERROR(MATCH(Tasks[[#This Row],[_Pred1UID]],Tasks[UID],0),-1))</f>
        <v>0</v>
      </c>
      <c r="CC172" s="42" t="n">
        <f aca="false">IF(N(Tasks[[#This Row],[_Pred2UID]])=0,0,IFERROR(MATCH(Tasks[[#This Row],[_Pred2UID]],Tasks[UID],0),-1))</f>
        <v>0</v>
      </c>
      <c r="CD172" s="42" t="n">
        <f aca="false">IF(N(Tasks[[#This Row],[_Pred3UID]])=0,0,IFERROR(MATCH(Tasks[[#This Row],[_Pred3UID]],Tasks[UID],0),-1))</f>
        <v>0</v>
      </c>
      <c r="CE172" s="42" t="n">
        <f aca="false">IF(N(Tasks[[#This Row],[_Pred4UID]])=0,0,IFERROR(MATCH(Tasks[[#This Row],[_Pred4UID]],Tasks[UID],0),-1))</f>
        <v>0</v>
      </c>
      <c r="CF1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2" s="89" t="n">
        <f aca="false">IF(OR(Tasks[[#This Row],[_ConstraintCode]]=2,Tasks[[#This Row],[_ConstraintCode]]=3,Tasks[[#This Row],[_ConstraintCode]]=4,Tasks[[#This Row],[_ConstraintCode]]=6),Tasks[[#This Row],[_ConstraintStart]],0)</f>
        <v>0</v>
      </c>
      <c r="CI172" s="89" t="n">
        <f aca="false">IF(OR(Tasks[[#This Row],[_ConstraintCode]]=2,Tasks[[#This Row],[_ConstraintCode]]=3,Tasks[[#This Row],[_ConstraintCode]]=5,Tasks[[#This Row],[_ConstraintCode]]=7),Tasks[[#This Row],[_ConstraintStart]],2958465)</f>
        <v>2958465</v>
      </c>
      <c r="CJ1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2" s="89" t="str">
        <f aca="false">IF(NOT(Tasks[[#This Row],[_IsLeaf]]=1),"",IF(N(Tasks[[#This Row],[_Days]])&lt;=0,Tasks[[#This Row],[_LeafCalcStart]],WORKDAY.INTL(Tasks[[#This Row],[_LeafCalcStart]],Tasks[[#This Row],[_Days]]-1,WorkWeek,Holidays)))</f>
        <v/>
      </c>
      <c r="CL1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2" s="42" t="str">
        <f aca="false">IF(Tasks[[#This Row],[_Predecessors]]="","",TRIM(MID(SUBSTITUTE(SUBSTITUTE(SUBSTITUTE(UPPER(Tasks[[#This Row],[_Predecessors]]),";",",")," ",""),",",REPT(" ",99)),1,99)))</f>
        <v/>
      </c>
      <c r="CO172" s="42" t="str">
        <f aca="false">IF(Tasks[[#This Row],[_Pred1Text]]="","",IFERROR(VALUE(LEFT(Tasks[[#This Row],[_Pred1Text]],MIN(FIND("F",Tasks[[#This Row],[_Pred1Text]]&amp;"F"),FIND("S",Tasks[[#This Row],[_Pred1Text]]&amp;"S"),FIND("+",Tasks[[#This Row],[_Pred1Text]]&amp;"+"),FIND("-",Tasks[[#This Row],[_Pred1Text]]&amp;"-"))-1)),""))</f>
        <v/>
      </c>
      <c r="CP1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2" s="42" t="str">
        <f aca="false">IF(Tasks[[#This Row],[_Pred1Text]]="","",TRIM(MID(SUBSTITUTE(SUBSTITUTE(SUBSTITUTE(UPPER(Tasks[[#This Row],[_Predecessors]]),";",",")," ",""),",",REPT(" ",99)),100,99)))</f>
        <v/>
      </c>
      <c r="CS172" s="42" t="str">
        <f aca="false">IF(Tasks[[#This Row],[_Pred2Text]]="","",IFERROR(VALUE(LEFT(Tasks[[#This Row],[_Pred2Text]],MIN(FIND("F",Tasks[[#This Row],[_Pred2Text]]&amp;"F"),FIND("S",Tasks[[#This Row],[_Pred2Text]]&amp;"S"),FIND("+",Tasks[[#This Row],[_Pred2Text]]&amp;"+"),FIND("-",Tasks[[#This Row],[_Pred2Text]]&amp;"-"))-1)),""))</f>
        <v/>
      </c>
      <c r="CT1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2" s="42" t="str">
        <f aca="false">IF(Tasks[[#This Row],[_Pred2Text]]="","",TRIM(MID(SUBSTITUTE(SUBSTITUTE(SUBSTITUTE(UPPER(Tasks[[#This Row],[_Predecessors]]),";",",")," ",""),",",REPT(" ",99)),199,99)))</f>
        <v/>
      </c>
      <c r="CW172" s="42" t="str">
        <f aca="false">IF(Tasks[[#This Row],[_Pred3Text]]="","",IFERROR(VALUE(LEFT(Tasks[[#This Row],[_Pred3Text]],MIN(FIND("F",Tasks[[#This Row],[_Pred3Text]]&amp;"F"),FIND("S",Tasks[[#This Row],[_Pred3Text]]&amp;"S"),FIND("+",Tasks[[#This Row],[_Pred3Text]]&amp;"+"),FIND("-",Tasks[[#This Row],[_Pred3Text]]&amp;"-"))-1)),""))</f>
        <v/>
      </c>
      <c r="CX1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2" s="42" t="str">
        <f aca="false">IF(Tasks[[#This Row],[_Pred3Text]]="","",TRIM(MID(SUBSTITUTE(SUBSTITUTE(SUBSTITUTE(UPPER(Tasks[[#This Row],[_Predecessors]]),";",",")," ",""),",",REPT(" ",99)),298,99)))</f>
        <v/>
      </c>
      <c r="DA172" s="42" t="str">
        <f aca="false">IF(Tasks[[#This Row],[_Pred4Text]]="","",IFERROR(VALUE(LEFT(Tasks[[#This Row],[_Pred4Text]],MIN(FIND("F",Tasks[[#This Row],[_Pred4Text]]&amp;"F"),FIND("S",Tasks[[#This Row],[_Pred4Text]]&amp;"S"),FIND("+",Tasks[[#This Row],[_Pred4Text]]&amp;"+"),FIND("-",Tasks[[#This Row],[_Pred4Text]]&amp;"-"))-1)),""))</f>
        <v/>
      </c>
      <c r="DB1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2" s="42" t="str">
        <f aca="false">IF(OR(Tasks[[#This Row],[Task Name]]="",Tasks[[#This Row],[_Resources]]=""),"",TRIM(MID(SUBSTITUTE(Tasks[[#This Row],[_Resources]],",",REPT(" ",99)),1,99)))</f>
        <v/>
      </c>
      <c r="DE172" s="42" t="str">
        <f aca="false">IF(Tasks[[#This Row],[_Res1Text]]="","",TRIM(MID(SUBSTITUTE(Tasks[[#This Row],[_Resources]],",",REPT(" ",99)),100,99)))</f>
        <v/>
      </c>
      <c r="DF172" s="42" t="str">
        <f aca="false">IF(Tasks[[#This Row],[_Res2Text]]="","",TRIM(MID(SUBSTITUTE(Tasks[[#This Row],[_Resources]],",",REPT(" ",99)),199,99)))</f>
        <v/>
      </c>
      <c r="DG172" s="42" t="str">
        <f aca="false">IF(Tasks[[#This Row],[_Res3Text]]="","",TRIM(MID(SUBSTITUTE(Tasks[[#This Row],[_Resources]],",",REPT(" ",99)),298,99)))</f>
        <v/>
      </c>
      <c r="DH172" s="42" t="n">
        <f aca="false">IF(Tasks[[#This Row],[_Res1Text]]="",0,IFERROR(MATCH(TRIM(LEFT(Tasks[[#This Row],[_Res1Text]],FIND("[",Tasks[[#This Row],[_Res1Text]]&amp;"[")-1)),res_Name,0),IFERROR(MATCH(TRIM(LEFT(Tasks[[#This Row],[_Res1Text]],FIND("[",Tasks[[#This Row],[_Res1Text]]&amp;"[")-1)),res_Initials,0),0)))</f>
        <v>0</v>
      </c>
      <c r="DI172" s="42" t="n">
        <f aca="false">IF(Tasks[[#This Row],[_Res2Text]]="",0,IFERROR(MATCH(TRIM(LEFT(Tasks[[#This Row],[_Res2Text]],FIND("[",Tasks[[#This Row],[_Res2Text]]&amp;"[")-1)),res_Name,0),IFERROR(MATCH(TRIM(LEFT(Tasks[[#This Row],[_Res2Text]],FIND("[",Tasks[[#This Row],[_Res2Text]]&amp;"[")-1)),res_Initials,0),0)))</f>
        <v>0</v>
      </c>
      <c r="DJ172" s="42" t="n">
        <f aca="false">IF(Tasks[[#This Row],[_Res3Text]]="",0,IFERROR(MATCH(TRIM(LEFT(Tasks[[#This Row],[_Res3Text]],FIND("[",Tasks[[#This Row],[_Res3Text]]&amp;"[")-1)),res_Name,0),IFERROR(MATCH(TRIM(LEFT(Tasks[[#This Row],[_Res3Text]],FIND("[",Tasks[[#This Row],[_Res3Text]]&amp;"[")-1)),res_Initials,0),0)))</f>
        <v>0</v>
      </c>
      <c r="DK172" s="42" t="n">
        <f aca="false">IF(Tasks[[#This Row],[_Res4Text]]="",0,IFERROR(MATCH(TRIM(LEFT(Tasks[[#This Row],[_Res4Text]],FIND("[",Tasks[[#This Row],[_Res4Text]]&amp;"[")-1)),res_Name,0),IFERROR(MATCH(TRIM(LEFT(Tasks[[#This Row],[_Res4Text]],FIND("[",Tasks[[#This Row],[_Res4Text]]&amp;"[")-1)),res_Initials,0),0)))</f>
        <v>0</v>
      </c>
      <c r="DL172" s="42" t="str">
        <f aca="false">IF(Tasks[[#This Row],[_Res1Text]]="","",IF(Tasks[[#This Row],[_Res1Row]]&gt;0,INDEX(res_Name,Tasks[[#This Row],[_Res1Row]]),TRIM(LEFT(Tasks[[#This Row],[_Res1Text]],FIND("[",Tasks[[#This Row],[_Res1Text]]&amp;"[")-1))))</f>
        <v/>
      </c>
      <c r="DM1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2" s="42" t="n">
        <f aca="false">IF(NOT(Tasks[[#This Row],[_IsLeaf]]=1),0,(Tasks[[#This Row],[_Resource1]]&lt;&gt;"")+(Tasks[[#This Row],[_Res2]]&lt;&gt;"")+(Tasks[[#This Row],[_Res3]]&lt;&gt;"")+(Tasks[[#This Row],[_Res4]]&lt;&gt;""))</f>
        <v>0</v>
      </c>
      <c r="DO172" s="42" t="str">
        <f aca="false">IF(Tasks[[#This Row],[_Res2Text]]="","",IF(Tasks[[#This Row],[_Res2Row]]&gt;0,INDEX(res_Name,Tasks[[#This Row],[_Res2Row]]),TRIM(LEFT(Tasks[[#This Row],[_Res2Text]],FIND("[",Tasks[[#This Row],[_Res2Text]]&amp;"[")-1))))</f>
        <v/>
      </c>
      <c r="DP1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2" s="42" t="n">
        <f aca="false">IF(OR(NOT(Tasks[[#This Row],[_IsLeaf]]=1),Tasks[[#This Row],[_Res2Row]]=0),0,N(Tasks[[#This Row],[_Days]])*HoursPerDay*IF(Tasks[[#This Row],[_Res2Units]]="",DefaultUnits,Tasks[[#This Row],[_Res2Units]]))</f>
        <v>0</v>
      </c>
      <c r="DR172" s="42" t="n">
        <f aca="false">IF(AND(AND(Tasks[[#This Row],[_IsLeaf]]=1,Tasks[[#This Row],[_LeafTotalWork]]&gt;0),Tasks[[#This Row],[_Res2Work]]&gt;0),Tasks[[#This Row],[_Res2Work]]/(Tasks[[#This Row],[_FinishWorkday]]-Tasks[[#This Row],[_StartWorkday]]+1),0)</f>
        <v>0</v>
      </c>
      <c r="DS172" s="42" t="n">
        <f aca="false">Tasks[[#This Row],[_Res2WorkPerWD]]*MAX(0,Tasks[[#This Row],[_StartWorkday]]-1)</f>
        <v>0</v>
      </c>
      <c r="DT172" s="42" t="n">
        <f aca="false">Tasks[[#This Row],[_Res2Work]]*Tasks[[#This Row],[_LeafProgress]]</f>
        <v>0</v>
      </c>
      <c r="DU172" s="42" t="str">
        <f aca="false">IF(Tasks[[#This Row],[_Res3Text]]="","",IF(Tasks[[#This Row],[_Res3Row]]&gt;0,INDEX(res_Name,Tasks[[#This Row],[_Res3Row]]),TRIM(LEFT(Tasks[[#This Row],[_Res3Text]],FIND("[",Tasks[[#This Row],[_Res3Text]]&amp;"[")-1))))</f>
        <v/>
      </c>
      <c r="DV1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2" s="42" t="n">
        <f aca="false">IF(OR(NOT(Tasks[[#This Row],[_IsLeaf]]=1),Tasks[[#This Row],[_Res3Row]]=0),0,N(Tasks[[#This Row],[_Days]])*HoursPerDay*IF(Tasks[[#This Row],[_Res3Units]]="",DefaultUnits,Tasks[[#This Row],[_Res3Units]]))</f>
        <v>0</v>
      </c>
      <c r="DX172" s="42" t="n">
        <f aca="false">IF(AND(AND(Tasks[[#This Row],[_IsLeaf]]=1,Tasks[[#This Row],[_LeafTotalWork]]&gt;0),Tasks[[#This Row],[_Res3Work]]&gt;0),Tasks[[#This Row],[_Res3Work]]/(Tasks[[#This Row],[_FinishWorkday]]-Tasks[[#This Row],[_StartWorkday]]+1),0)</f>
        <v>0</v>
      </c>
      <c r="DY172" s="42" t="n">
        <f aca="false">Tasks[[#This Row],[_Res3WorkPerWD]]*MAX(0,Tasks[[#This Row],[_StartWorkday]]-1)</f>
        <v>0</v>
      </c>
      <c r="DZ172" s="42" t="n">
        <f aca="false">Tasks[[#This Row],[_Res3Work]]*Tasks[[#This Row],[_LeafProgress]]</f>
        <v>0</v>
      </c>
      <c r="EA172" s="42" t="str">
        <f aca="false">IF(Tasks[[#This Row],[_Res4Text]]="","",IF(Tasks[[#This Row],[_Res4Row]]&gt;0,INDEX(res_Name,Tasks[[#This Row],[_Res4Row]]),TRIM(LEFT(Tasks[[#This Row],[_Res4Text]],FIND("[",Tasks[[#This Row],[_Res4Text]]&amp;"[")-1))))</f>
        <v/>
      </c>
      <c r="EB1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2" s="42" t="n">
        <f aca="false">IF(OR(NOT(Tasks[[#This Row],[_IsLeaf]]=1),Tasks[[#This Row],[_Res4Row]]=0),0,N(Tasks[[#This Row],[_Days]])*HoursPerDay*IF(Tasks[[#This Row],[_Res4Units]]="",DefaultUnits,Tasks[[#This Row],[_Res4Units]]))</f>
        <v>0</v>
      </c>
      <c r="ED172" s="42" t="n">
        <f aca="false">IF(AND(AND(Tasks[[#This Row],[_IsLeaf]]=1,Tasks[[#This Row],[_LeafTotalWork]]&gt;0),Tasks[[#This Row],[_Res4Work]]&gt;0),Tasks[[#This Row],[_Res4Work]]/(Tasks[[#This Row],[_FinishWorkday]]-Tasks[[#This Row],[_StartWorkday]]+1),0)</f>
        <v>0</v>
      </c>
      <c r="EE172" s="42" t="n">
        <f aca="false">Tasks[[#This Row],[_Res4WorkPerWD]]*MAX(0,Tasks[[#This Row],[_StartWorkday]]-1)</f>
        <v>0</v>
      </c>
      <c r="EF172" s="42" t="n">
        <f aca="false">Tasks[[#This Row],[_Res4Work]]*Tasks[[#This Row],[_LeafProgress]]</f>
        <v>0</v>
      </c>
      <c r="EG172" s="42" t="n">
        <f aca="false">IF(ISNUMBER(Tasks[[#This Row],[% Complete]]),Tasks[[#This Row],[% Complete]],IF(Tasks[[#This Row],[Stage]]="",0,IFERROR(INDEX(stg_Pct,MATCH(Tasks[[#This Row],[Stage]],stg_Name,0)),0)))</f>
        <v>0</v>
      </c>
      <c r="EH172" s="42" t="n">
        <f aca="false">IF(NOT(Tasks[[#This Row],[_IsLeaf]]=1),0,IF(N(Tasks[[#This Row],[Actual Finish]])&gt;0,1,MIN(1,Tasks[[#This Row],[_Pct]])))</f>
        <v>0</v>
      </c>
      <c r="EI172" s="42" t="n">
        <f aca="false">IF(OR(NOT(Tasks[[#This Row],[_IsLeaf]]=1),Tasks[[#This Row],[_Res1Row]]=0),0,N(Tasks[[#This Row],[_Days]])*HoursPerDay*IF(Tasks[[#This Row],[_Units1]]="",DefaultUnits,Tasks[[#This Row],[_Units1]]))</f>
        <v>0</v>
      </c>
      <c r="EJ172" s="42" t="n">
        <f aca="false">Tasks[[#This Row],[_LeafWork]]+Tasks[[#This Row],[_Res2Work]]+Tasks[[#This Row],[_Res3Work]]+Tasks[[#This Row],[_Res4Work]]</f>
        <v>0</v>
      </c>
      <c r="EK1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2" s="42" t="n">
        <f aca="false">IF(NOT(Tasks[[#This Row],[_IsLeaf]]=1),0,MAX(_xlfn.MAXIFS(Tasks[_Row],Tasks[_Pred1UID],Tasks[[#This Row],[UID]]),_xlfn.MAXIFS(Tasks[_Row],Tasks[_Pred2UID],Tasks[[#This Row],[UID]]),_xlfn.MAXIFS(Tasks[_Row],Tasks[_Pred3UID],Tasks[[#This Row],[UID]]),_xlfn.MAXIFS(Tasks[_Row],Tasks[_Pred4UID],Tasks[[#This Row],[UID]])))</f>
        <v>0</v>
      </c>
      <c r="ET1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2" s="89" t="str">
        <f aca="false">IF(NOT(Tasks[[#This Row],[_IsLeaf]]=1),"",IF(N(Tasks[[#This Row],[_Days]])&lt;=0,Tasks[[#This Row],[_LeafLateFinish]],WORKDAY.INTL(Tasks[[#This Row],[_LeafLateFinish]],-(Tasks[[#This Row],[_Days]]-1),WorkWeek,Holidays)))</f>
        <v/>
      </c>
      <c r="EW1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2" s="88" t="b">
        <f aca="false">AND(Tasks[[#This Row],[_IsLeaf]]=1,Tasks[[#This Row],[_LeafProgress]]&lt;1,N(Tasks[[#This Row],[_LeafTotalSlack]])&lt;=CriticalSlackDays)</f>
        <v>0</v>
      </c>
      <c r="EY172" s="42" t="n">
        <f aca="false">IF(AND(Tasks[[#This Row],[_IsLeaf]]=1,Tasks[[#This Row],[_ConstraintCode]]=1,Tasks[[#This Row],[Mode]]&lt;&gt;"Manual",N(Tasks[[#This Row],[Actual Start]])=0),MAX(0,N(Tasks[[#This Row],[Free Slack]])),0)</f>
        <v>0</v>
      </c>
      <c r="EZ172" s="89" t="str">
        <f aca="false">IF(NOT(Tasks[[#This Row],[_IsLeaf]]=1),"",IF(Tasks[[#This Row],[_AlapShift]]=0,Tasks[[#This Row],[_LeafCalcStart]],WORKDAY.INTL(Tasks[[#This Row],[_LeafCalcStart]],Tasks[[#This Row],[_AlapShift]],WorkWeek,Holidays)))</f>
        <v/>
      </c>
      <c r="FA172" s="89" t="str">
        <f aca="false">IF(NOT(Tasks[[#This Row],[_IsLeaf]]=1),"",IF(Tasks[[#This Row],[_AlapShift]]=0,Tasks[[#This Row],[_LeafCalcFinish]],WORKDAY.INTL(Tasks[[#This Row],[_LeafCalcFinish]],Tasks[[#This Row],[_AlapShift]],WorkWeek,Holidays)))</f>
        <v/>
      </c>
      <c r="FB172" s="89" t="str">
        <f aca="false">IF(NOT(Tasks[[#This Row],[_IsLeaf]]=1),"",IF(Tasks[[#This Row],[_AlapShift]]=0,Tasks[[#This Row],[_LeafFcstStart]],WORKDAY.INTL(Tasks[[#This Row],[_LeafFcstStart]],Tasks[[#This Row],[_AlapShift]],WorkWeek,Holidays)))</f>
        <v/>
      </c>
      <c r="FC172" s="89" t="str">
        <f aca="false">IF(NOT(Tasks[[#This Row],[_IsLeaf]]=1),"",IF(Tasks[[#This Row],[_AlapShift]]=0,Tasks[[#This Row],[_LeafFcstFinish]],WORKDAY.INTL(Tasks[[#This Row],[_LeafFcstFinish]],Tasks[[#This Row],[_AlapShift]],WorkWeek,Holidays)))</f>
        <v/>
      </c>
      <c r="FD172" s="89" t="str">
        <f aca="false">IF(Tasks[[#This Row],[Task Name]]="","",IF(Tasks[[#This Row],[_IsSummary]],MIN(INDEX(Tasks[_ShownCalcStart],Tasks[[#This Row],[_Row]]+1):INDEX(Tasks[_ShownCalcStart],Tasks[[#This Row],[_Row]]+Tasks[[#This Row],[_Descendants]])),Tasks[[#This Row],[_ShownCalcStart]]))</f>
        <v/>
      </c>
      <c r="FE172" s="89" t="str">
        <f aca="false">IF(Tasks[[#This Row],[Task Name]]="","",IF(Tasks[[#This Row],[_IsSummary]],MAX(INDEX(Tasks[_ShownCalcFinish],Tasks[[#This Row],[_Row]]+1):INDEX(Tasks[_ShownCalcFinish],Tasks[[#This Row],[_Row]]+Tasks[[#This Row],[_Descendants]])),Tasks[[#This Row],[_ShownCalcFinish]]))</f>
        <v/>
      </c>
      <c r="FF1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2" s="42" t="n">
        <f aca="false">IF(AND(Tasks[[#This Row],[_IsLeaf]]=1,Tasks[[#This Row],[_LeafTotalWork]]&gt;0),NETWORKDAYS.INTL(ProjectStart,Tasks[[#This Row],[_ShownFcstStart]],WorkWeek,Holidays),0)</f>
        <v>0</v>
      </c>
      <c r="FS172" s="42" t="n">
        <f aca="false">IF(AND(Tasks[[#This Row],[_IsLeaf]]=1,Tasks[[#This Row],[_LeafTotalWork]]&gt;0),MAX(Tasks[[#This Row],[_StartWorkday]],NETWORKDAYS.INTL(ProjectStart,Tasks[[#This Row],[_ShownFcstFinish]],WorkWeek,Holidays)),0)</f>
        <v>0</v>
      </c>
      <c r="FT172" s="42" t="n">
        <f aca="false">IF(AND(Tasks[[#This Row],[_IsLeaf]]=1,Tasks[[#This Row],[_LeafTotalWork]]&gt;0),Tasks[[#This Row],[_LeafWork]]/(Tasks[[#This Row],[_FinishWorkday]]-Tasks[[#This Row],[_StartWorkday]]+1),0)</f>
        <v>0</v>
      </c>
      <c r="FU172" s="42" t="n">
        <f aca="false">Tasks[[#This Row],[_WorkPerWorkday]]*(Tasks[[#This Row],[_StartWorkday]]-1)</f>
        <v>-0</v>
      </c>
      <c r="FV172" s="42" t="n">
        <f aca="false">IF(Tasks[[#This Row],[_IsLeaf]]=1,MAX(N(Tasks[[#This Row],[_Days]]),0.1),0)</f>
        <v>0</v>
      </c>
      <c r="FW172" s="42" t="n">
        <f aca="false">Tasks[[#This Row],[_WeightDur]]*Tasks[[#This Row],[_LeafProgress]]</f>
        <v>0</v>
      </c>
      <c r="FX172" s="42" t="n">
        <f aca="false">Tasks[[#This Row],[_WeightDur]]*Tasks[[#This Row],[_PlannedPct]]</f>
        <v>0</v>
      </c>
      <c r="FY1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2" s="42" t="str">
        <f aca="false">IF(AND(Tasks[[#This Row],[_IsLeaf]]=1,N(Tasks[[#This Row],[_Days]])=0,Tasks[[#This Row],[_LeafProgress]]&lt;1),Tasks[[#This Row],[_ShownFcstFinish]]+Tasks[[#This Row],[_Row]]/100000,"")</f>
        <v/>
      </c>
      <c r="GA1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2" s="42" t="str">
        <f aca="false">IF(Tasks[[#This Row],[Task Name]]="","",LEFT(Tasks[[#This Row],[WBS]],FIND(".",Tasks[[#This Row],[WBS]]&amp;".")-1))</f>
        <v/>
      </c>
      <c r="GC172" s="42" t="str">
        <f aca="false">IF(AND(Tasks[[#This Row],[Task Name]]&lt;&gt;"",Tasks[[#This Row],[_Level]]=1),Tasks[[#This Row],[_Row]],"")</f>
        <v/>
      </c>
      <c r="GD172" s="42" t="str">
        <f aca="false">IF(AND(Tasks[[#This Row],[_IsLeaf]]=1,N(Tasks[[#This Row],[_Days]])=0),Tasks[[#This Row],[Planned Finish]]+Tasks[[#This Row],[_Row]]/100000,"")</f>
        <v/>
      </c>
      <c r="GE172" s="42" t="str">
        <f aca="false">IF(AND(Tasks[[#This Row],[_IsLeaf]]=1,Tasks[[#This Row],[_LeafProgress]]&lt;1,OR(N(Tasks[[#This Row],[Finish Var]])&gt;0,Tasks[[#This Row],[Status]]="Late Start")),MAX(0,Tasks[[#This Row],[Finish Var]])+1-Tasks[[#This Row],[_Row]]/1000000,"")</f>
        <v/>
      </c>
      <c r="GF172" s="42" t="str">
        <f aca="false">IF(AND(Tasks[[#This Row],[_IsLeaf]]=1,N(Tasks[[#This Row],[Actual Start]])=0,Tasks[[#This Row],[_ShownFcstStart]]&gt;=StatusDate,Tasks[[#This Row],[_ShownFcstStart]]&lt;=LookaheadEnd),Tasks[[#This Row],[_ShownFcstStart]]+Tasks[[#This Row],[_Row]]/100000,"")</f>
        <v/>
      </c>
      <c r="GG172" s="42" t="str">
        <f aca="false">IF(AND(Tasks[[#This Row],[_IsLeaf]]=1,Tasks[[#This Row],[_LeafProgress]]&lt;1,Tasks[[#This Row],[_ShownFcstFinish]]&gt;=StatusDate,Tasks[[#This Row],[_ShownFcstFinish]]&lt;=LookaheadEnd),Tasks[[#This Row],[_ShownFcstFinish]]+Tasks[[#This Row],[_Row]]/100000,"")</f>
        <v/>
      </c>
      <c r="GH172" s="42" t="str">
        <f aca="false">IF(Tasks[[#This Row],[_LeafCritical]],Tasks[[#This Row],[_ShownFcstStart]]+Tasks[[#This Row],[_Row]]/100000,"")</f>
        <v/>
      </c>
      <c r="GI172" s="42" t="n">
        <f aca="false">Tasks[[#This Row],[_LeafWork]]*Tasks[[#This Row],[_LeafProgress]]</f>
        <v>0</v>
      </c>
      <c r="GJ172" s="89" t="str">
        <f aca="false">IF(AND(Tasks[[#This Row],[_IsLeaf]]=1,Tasks[[#This Row],[_LeafProgress]]&gt;=1),IF(N(Tasks[[#This Row],[Actual Finish]])&gt;0,Tasks[[#This Row],[Actual Finish]],Tasks[[#This Row],[_ShownFcstFinish]]),"")</f>
        <v/>
      </c>
      <c r="GK172" s="42" t="n">
        <f aca="false">IF(Tasks[[#This Row],[_IsLeaf]]=1,N(Tasks[[#This Row],[Story Points]]),0)</f>
        <v>0</v>
      </c>
      <c r="GL172" s="42" t="str">
        <f aca="false">""</f>
        <v/>
      </c>
      <c r="GM172" s="88" t="b">
        <f aca="false">IF(Tasks[[#This Row],[Task Name]]="",FALSE(),AND(Tasks[[#This Row],[_IsLeaf]]=1,N(Tasks[[#This Row],[_Days]])=0))</f>
        <v>0</v>
      </c>
      <c r="GN172" s="89" t="n">
        <f aca="false">IF(Tasks[[#This Row],[Task Name]]="",0,IF(AND(Tasks[[#This Row],[_IsLeaf]]=1,NOT(Tasks[[#This Row],[_IsMilestone]]),N(Tasks[[#This Row],[Progress]])&gt;0),Tasks[[#This Row],[Start]],0))</f>
        <v>0</v>
      </c>
      <c r="GO172" s="89" t="n">
        <f aca="false">IF(Tasks[[#This Row],[_DoneFrom]]=0,0,IF(Tasks[[#This Row],[Progress]]&gt;=1,Tasks[[#This Row],[Finish]],MAX(Tasks[[#This Row],[_DoneFrom]],Tasks[[#This Row],[Start]]+ROUND((Tasks[[#This Row],[Finish]]-Tasks[[#This Row],[Start]]+1)*Tasks[[#This Row],[Progress]],0)-1)))</f>
        <v>0</v>
      </c>
      <c r="GP172" s="89" t="n">
        <f aca="false">IF(Tasks[[#This Row],[Task Name]]="",0,IF(OR(NOT(Tasks[[#This Row],[_IsLeaf]]=1),Tasks[[#This Row],[_IsMilestone]],N(Tasks[[#This Row],[Progress]])&gt;=1),0,IF(Tasks[[#This Row],[_DoneTo]]&gt;0,Tasks[[#This Row],[_DoneTo]]+1,Tasks[[#This Row],[Start]])))</f>
        <v>0</v>
      </c>
      <c r="GQ172" s="89" t="n">
        <f aca="false">IF(Tasks[[#This Row],[_RemFrom]]=0,0,Tasks[[#This Row],[Finish]])</f>
        <v>0</v>
      </c>
      <c r="GR172" s="88" t="b">
        <f aca="false">IF(Tasks[[#This Row],[Task Name]]="",FALSE(),OR(NOT(BaselineSet),N(Tasks[[#This Row],[Baseline Start]])&gt;0))</f>
        <v>0</v>
      </c>
      <c r="GS1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2" s="90" t="str">
        <f aca="false">IF(Tasks[[#This Row],[_IsLeaf]]=1,Tasks[[#This Row],[_Row]],"")</f>
        <v/>
      </c>
      <c r="GW172" s="90" t="str">
        <f aca="false">IFERROR(INDEX(Tasks[UID],SMALL(Tasks[_PickKey],Tasks[[#This Row],[_Row]]))&amp;" "&amp;INDEX(Tasks[Task Name],SMALL(Tasks[_PickKey],Tasks[[#This Row],[_Row]])),"")</f>
        <v/>
      </c>
      <c r="GX172" s="42" t="str">
        <f aca="false">IF(Tasks[[#This Row],[Task Name]]="","",IF(Tasks[[#This Row],[_IsSummary]],NETWORKDAYS.INTL(Tasks[[#This Row],[Start]],Tasks[[#This Row],[Finish]],WorkWeek,Holidays),N(Tasks[[#This Row],[_Days]])))</f>
        <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3"/>
      <c r="U173" s="23"/>
      <c r="V173" s="83"/>
      <c r="W173" s="23"/>
      <c r="X173" s="83"/>
      <c r="Y173" s="23"/>
      <c r="Z173" s="83"/>
      <c r="AA173" s="23"/>
      <c r="AB173" s="23"/>
      <c r="AC173" s="7"/>
      <c r="AD173" s="7"/>
      <c r="AE173" s="62" t="str">
        <f aca="false">IF(Tasks[[#This Row],[Task Name]]="","",IF(Tasks[[#This Row],[_IsSummary]],MIN(INDEX(Tasks[_ShownFcstStart],Tasks[[#This Row],[_Row]]+1):INDEX(Tasks[_ShownFcstStart],Tasks[[#This Row],[_Row]]+Tasks[[#This Row],[_Descendants]])),Tasks[[#This Row],[_ShownFcstStart]]))</f>
        <v/>
      </c>
      <c r="AF173" s="62"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3" s="7"/>
      <c r="AK173" s="22"/>
      <c r="AL173" s="23"/>
      <c r="AM173" s="7"/>
      <c r="AN173" s="46"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2" t="str">
        <f aca="false">IF(Tasks[[#This Row],[Task Name]]="","",IF(N(Tasks[[#This Row],[Baseline Start]])&gt;0,Tasks[[#This Row],[Baseline Start]],Tasks[[#This Row],[_CalcStart]]))</f>
        <v/>
      </c>
      <c r="AR173" s="62" t="str">
        <f aca="false">IF(Tasks[[#This Row],[Task Name]]="","",IF(N(Tasks[[#This Row],[Baseline Finish]])&gt;0,Tasks[[#This Row],[Baseline Finish]],Tasks[[#This Row],[_CalcFinish]]))</f>
        <v/>
      </c>
      <c r="AS173" s="46" t="str">
        <f aca="false">IF(Tasks[[#This Row],[Task Name]]="","",IF(Tasks[[#This Row],[Start]]&gt;=Tasks[[#This Row],[Planned Start]],NETWORKDAYS.INTL(Tasks[[#This Row],[Planned Start]],Tasks[[#This Row],[Start]],WorkWeek,Holidays)-1,1-NETWORKDAYS.INTL(Tasks[[#This Row],[Start]],Tasks[[#This Row],[Planned Start]],WorkWeek,Holidays)))</f>
        <v/>
      </c>
      <c r="AT173" s="62" t="str">
        <f aca="false">IF(Tasks[[#This Row],[Task Name]]="","",IF(Tasks[[#This Row],[_IsSummary]],MIN(INDEX(Tasks[_LeafLateStart],Tasks[[#This Row],[_Row]]+1):INDEX(Tasks[_LeafLateStart],Tasks[[#This Row],[_Row]]+Tasks[[#This Row],[_Descendants]])),Tasks[[#This Row],[_LeafLateStart]]))</f>
        <v/>
      </c>
      <c r="AU173" s="62" t="str">
        <f aca="false">IF(Tasks[[#This Row],[Task Name]]="","",IF(Tasks[[#This Row],[_IsSummary]],MAX(INDEX(Tasks[_LeafLateFinish],Tasks[[#This Row],[_Row]]+1):INDEX(Tasks[_LeafLateFinish],Tasks[[#This Row],[_Row]]+Tasks[[#This Row],[_Descendants]])),Tasks[[#This Row],[_LeafLateFinish]]))</f>
        <v/>
      </c>
      <c r="AV173" s="46"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4"/>
      <c r="BA1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5"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6"/>
      <c r="BJ173" s="22"/>
      <c r="BK173" s="46" t="str">
        <f aca="false">IF(OR(Tasks[[#This Row],[Task Name]]="",Tasks[[#This Row],[Baseline Duration]]=""),"",Tasks[[#This Row],[_SpanDays]]-N(Tasks[[#This Row],[Baseline Duration]]))</f>
        <v/>
      </c>
      <c r="BL173" s="85" t="str">
        <f aca="false">IF(OR(Tasks[[#This Row],[Task Name]]="",Tasks[[#This Row],[Baseline Work]]=""),"",Tasks[[#This Row],[Work]]-N(Tasks[[#This Row],[Baseline Work]]))</f>
        <v/>
      </c>
      <c r="BM173" s="62" t="str">
        <f aca="false">IF(Tasks[[#This Row],[Task Name]]="","",IF(OR(TakeBaseline="Yes",N(Tasks[[#This Row],[Baseline Start]])=0),Tasks[[#This Row],[Start]],Tasks[[#This Row],[Baseline Start]]))</f>
        <v/>
      </c>
      <c r="BN173" s="62"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5" t="str">
        <f aca="false">IF(Tasks[[#This Row],[Task Name]]="","",IF(OR(TakeBaseline="Yes",N(Tasks[[#This Row],[Baseline Work]])=0),Tasks[[#This Row],[Work]],Tasks[[#This Row],[Baseline Work]]))</f>
        <v/>
      </c>
      <c r="BQ173" s="7"/>
      <c r="BR173" s="7"/>
      <c r="BS173" s="22"/>
      <c r="BT173" s="87"/>
      <c r="BU173" s="42" t="str">
        <f aca="false">IF(Tasks[[#This Row],[Task Name]]="","",MAX(1,N(Tasks[[#This Row],[Level]])))</f>
        <v/>
      </c>
      <c r="BV173" s="42" t="n">
        <f aca="false">ROW()-ROW(Tasks[[#Headers],[ID]])</f>
        <v>168</v>
      </c>
      <c r="BW173" s="42" t="n">
        <f aca="false">IF(OR(Tasks[[#This Row],[Task Name]]="",Tasks[[#This Row],[_Level]]&lt;=1),0,IFERROR(LOOKUP(2,1/(Tasks[[#Headers],[_Level]]:Tasks[[#This Row],[_Level]]=Tasks[[#This Row],[_Level]]-1),ROW(Tasks[[#Headers],[_Level]]:Tasks[[#This Row],[_Level]])),0))</f>
        <v>0</v>
      </c>
      <c r="BX173" s="42" t="n">
        <f aca="false">IFERROR(N(INDEX(Tasks[_Level],Tasks[[#This Row],[_Row]]+1)),0)</f>
        <v>0</v>
      </c>
      <c r="BY173" s="88" t="b">
        <f aca="false">AND(Tasks[[#This Row],[Task Name]]&lt;&gt;"",Tasks[[#This Row],[_NextLevel]]&gt;Tasks[[#This Row],[_Level]])</f>
        <v>0</v>
      </c>
      <c r="BZ173" s="42" t="n">
        <f aca="false">IF(Tasks[[#This Row],[_IsSummary]],COUNTIF(Tasks[WBS],Tasks[[#This Row],[WBS]]&amp;".*"),0)</f>
        <v>0</v>
      </c>
      <c r="CA173" s="42" t="n">
        <f aca="false">IF(AND(Tasks[[#This Row],[Task Name]]&lt;&gt;"",NOT(Tasks[[#This Row],[_IsSummary]])),1,0)</f>
        <v>0</v>
      </c>
      <c r="CB173" s="42" t="n">
        <f aca="false">IF(N(Tasks[[#This Row],[_Pred1UID]])=0,0,IFERROR(MATCH(Tasks[[#This Row],[_Pred1UID]],Tasks[UID],0),-1))</f>
        <v>0</v>
      </c>
      <c r="CC173" s="42" t="n">
        <f aca="false">IF(N(Tasks[[#This Row],[_Pred2UID]])=0,0,IFERROR(MATCH(Tasks[[#This Row],[_Pred2UID]],Tasks[UID],0),-1))</f>
        <v>0</v>
      </c>
      <c r="CD173" s="42" t="n">
        <f aca="false">IF(N(Tasks[[#This Row],[_Pred3UID]])=0,0,IFERROR(MATCH(Tasks[[#This Row],[_Pred3UID]],Tasks[UID],0),-1))</f>
        <v>0</v>
      </c>
      <c r="CE173" s="42" t="n">
        <f aca="false">IF(N(Tasks[[#This Row],[_Pred4UID]])=0,0,IFERROR(MATCH(Tasks[[#This Row],[_Pred4UID]],Tasks[UID],0),-1))</f>
        <v>0</v>
      </c>
      <c r="CF1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3" s="89" t="n">
        <f aca="false">IF(OR(Tasks[[#This Row],[_ConstraintCode]]=2,Tasks[[#This Row],[_ConstraintCode]]=3,Tasks[[#This Row],[_ConstraintCode]]=4,Tasks[[#This Row],[_ConstraintCode]]=6),Tasks[[#This Row],[_ConstraintStart]],0)</f>
        <v>0</v>
      </c>
      <c r="CI173" s="89" t="n">
        <f aca="false">IF(OR(Tasks[[#This Row],[_ConstraintCode]]=2,Tasks[[#This Row],[_ConstraintCode]]=3,Tasks[[#This Row],[_ConstraintCode]]=5,Tasks[[#This Row],[_ConstraintCode]]=7),Tasks[[#This Row],[_ConstraintStart]],2958465)</f>
        <v>2958465</v>
      </c>
      <c r="CJ1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3" s="89" t="str">
        <f aca="false">IF(NOT(Tasks[[#This Row],[_IsLeaf]]=1),"",IF(N(Tasks[[#This Row],[_Days]])&lt;=0,Tasks[[#This Row],[_LeafCalcStart]],WORKDAY.INTL(Tasks[[#This Row],[_LeafCalcStart]],Tasks[[#This Row],[_Days]]-1,WorkWeek,Holidays)))</f>
        <v/>
      </c>
      <c r="CL1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3" s="42" t="str">
        <f aca="false">IF(Tasks[[#This Row],[_Predecessors]]="","",TRIM(MID(SUBSTITUTE(SUBSTITUTE(SUBSTITUTE(UPPER(Tasks[[#This Row],[_Predecessors]]),";",",")," ",""),",",REPT(" ",99)),1,99)))</f>
        <v/>
      </c>
      <c r="CO173" s="42" t="str">
        <f aca="false">IF(Tasks[[#This Row],[_Pred1Text]]="","",IFERROR(VALUE(LEFT(Tasks[[#This Row],[_Pred1Text]],MIN(FIND("F",Tasks[[#This Row],[_Pred1Text]]&amp;"F"),FIND("S",Tasks[[#This Row],[_Pred1Text]]&amp;"S"),FIND("+",Tasks[[#This Row],[_Pred1Text]]&amp;"+"),FIND("-",Tasks[[#This Row],[_Pred1Text]]&amp;"-"))-1)),""))</f>
        <v/>
      </c>
      <c r="CP1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3" s="42" t="str">
        <f aca="false">IF(Tasks[[#This Row],[_Pred1Text]]="","",TRIM(MID(SUBSTITUTE(SUBSTITUTE(SUBSTITUTE(UPPER(Tasks[[#This Row],[_Predecessors]]),";",",")," ",""),",",REPT(" ",99)),100,99)))</f>
        <v/>
      </c>
      <c r="CS173" s="42" t="str">
        <f aca="false">IF(Tasks[[#This Row],[_Pred2Text]]="","",IFERROR(VALUE(LEFT(Tasks[[#This Row],[_Pred2Text]],MIN(FIND("F",Tasks[[#This Row],[_Pred2Text]]&amp;"F"),FIND("S",Tasks[[#This Row],[_Pred2Text]]&amp;"S"),FIND("+",Tasks[[#This Row],[_Pred2Text]]&amp;"+"),FIND("-",Tasks[[#This Row],[_Pred2Text]]&amp;"-"))-1)),""))</f>
        <v/>
      </c>
      <c r="CT1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3" s="42" t="str">
        <f aca="false">IF(Tasks[[#This Row],[_Pred2Text]]="","",TRIM(MID(SUBSTITUTE(SUBSTITUTE(SUBSTITUTE(UPPER(Tasks[[#This Row],[_Predecessors]]),";",",")," ",""),",",REPT(" ",99)),199,99)))</f>
        <v/>
      </c>
      <c r="CW173" s="42" t="str">
        <f aca="false">IF(Tasks[[#This Row],[_Pred3Text]]="","",IFERROR(VALUE(LEFT(Tasks[[#This Row],[_Pred3Text]],MIN(FIND("F",Tasks[[#This Row],[_Pred3Text]]&amp;"F"),FIND("S",Tasks[[#This Row],[_Pred3Text]]&amp;"S"),FIND("+",Tasks[[#This Row],[_Pred3Text]]&amp;"+"),FIND("-",Tasks[[#This Row],[_Pred3Text]]&amp;"-"))-1)),""))</f>
        <v/>
      </c>
      <c r="CX1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3" s="42" t="str">
        <f aca="false">IF(Tasks[[#This Row],[_Pred3Text]]="","",TRIM(MID(SUBSTITUTE(SUBSTITUTE(SUBSTITUTE(UPPER(Tasks[[#This Row],[_Predecessors]]),";",",")," ",""),",",REPT(" ",99)),298,99)))</f>
        <v/>
      </c>
      <c r="DA173" s="42" t="str">
        <f aca="false">IF(Tasks[[#This Row],[_Pred4Text]]="","",IFERROR(VALUE(LEFT(Tasks[[#This Row],[_Pred4Text]],MIN(FIND("F",Tasks[[#This Row],[_Pred4Text]]&amp;"F"),FIND("S",Tasks[[#This Row],[_Pred4Text]]&amp;"S"),FIND("+",Tasks[[#This Row],[_Pred4Text]]&amp;"+"),FIND("-",Tasks[[#This Row],[_Pred4Text]]&amp;"-"))-1)),""))</f>
        <v/>
      </c>
      <c r="DB1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3" s="42" t="str">
        <f aca="false">IF(OR(Tasks[[#This Row],[Task Name]]="",Tasks[[#This Row],[_Resources]]=""),"",TRIM(MID(SUBSTITUTE(Tasks[[#This Row],[_Resources]],",",REPT(" ",99)),1,99)))</f>
        <v/>
      </c>
      <c r="DE173" s="42" t="str">
        <f aca="false">IF(Tasks[[#This Row],[_Res1Text]]="","",TRIM(MID(SUBSTITUTE(Tasks[[#This Row],[_Resources]],",",REPT(" ",99)),100,99)))</f>
        <v/>
      </c>
      <c r="DF173" s="42" t="str">
        <f aca="false">IF(Tasks[[#This Row],[_Res2Text]]="","",TRIM(MID(SUBSTITUTE(Tasks[[#This Row],[_Resources]],",",REPT(" ",99)),199,99)))</f>
        <v/>
      </c>
      <c r="DG173" s="42" t="str">
        <f aca="false">IF(Tasks[[#This Row],[_Res3Text]]="","",TRIM(MID(SUBSTITUTE(Tasks[[#This Row],[_Resources]],",",REPT(" ",99)),298,99)))</f>
        <v/>
      </c>
      <c r="DH173" s="42" t="n">
        <f aca="false">IF(Tasks[[#This Row],[_Res1Text]]="",0,IFERROR(MATCH(TRIM(LEFT(Tasks[[#This Row],[_Res1Text]],FIND("[",Tasks[[#This Row],[_Res1Text]]&amp;"[")-1)),res_Name,0),IFERROR(MATCH(TRIM(LEFT(Tasks[[#This Row],[_Res1Text]],FIND("[",Tasks[[#This Row],[_Res1Text]]&amp;"[")-1)),res_Initials,0),0)))</f>
        <v>0</v>
      </c>
      <c r="DI173" s="42" t="n">
        <f aca="false">IF(Tasks[[#This Row],[_Res2Text]]="",0,IFERROR(MATCH(TRIM(LEFT(Tasks[[#This Row],[_Res2Text]],FIND("[",Tasks[[#This Row],[_Res2Text]]&amp;"[")-1)),res_Name,0),IFERROR(MATCH(TRIM(LEFT(Tasks[[#This Row],[_Res2Text]],FIND("[",Tasks[[#This Row],[_Res2Text]]&amp;"[")-1)),res_Initials,0),0)))</f>
        <v>0</v>
      </c>
      <c r="DJ173" s="42" t="n">
        <f aca="false">IF(Tasks[[#This Row],[_Res3Text]]="",0,IFERROR(MATCH(TRIM(LEFT(Tasks[[#This Row],[_Res3Text]],FIND("[",Tasks[[#This Row],[_Res3Text]]&amp;"[")-1)),res_Name,0),IFERROR(MATCH(TRIM(LEFT(Tasks[[#This Row],[_Res3Text]],FIND("[",Tasks[[#This Row],[_Res3Text]]&amp;"[")-1)),res_Initials,0),0)))</f>
        <v>0</v>
      </c>
      <c r="DK173" s="42" t="n">
        <f aca="false">IF(Tasks[[#This Row],[_Res4Text]]="",0,IFERROR(MATCH(TRIM(LEFT(Tasks[[#This Row],[_Res4Text]],FIND("[",Tasks[[#This Row],[_Res4Text]]&amp;"[")-1)),res_Name,0),IFERROR(MATCH(TRIM(LEFT(Tasks[[#This Row],[_Res4Text]],FIND("[",Tasks[[#This Row],[_Res4Text]]&amp;"[")-1)),res_Initials,0),0)))</f>
        <v>0</v>
      </c>
      <c r="DL173" s="42" t="str">
        <f aca="false">IF(Tasks[[#This Row],[_Res1Text]]="","",IF(Tasks[[#This Row],[_Res1Row]]&gt;0,INDEX(res_Name,Tasks[[#This Row],[_Res1Row]]),TRIM(LEFT(Tasks[[#This Row],[_Res1Text]],FIND("[",Tasks[[#This Row],[_Res1Text]]&amp;"[")-1))))</f>
        <v/>
      </c>
      <c r="DM1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3" s="42" t="n">
        <f aca="false">IF(NOT(Tasks[[#This Row],[_IsLeaf]]=1),0,(Tasks[[#This Row],[_Resource1]]&lt;&gt;"")+(Tasks[[#This Row],[_Res2]]&lt;&gt;"")+(Tasks[[#This Row],[_Res3]]&lt;&gt;"")+(Tasks[[#This Row],[_Res4]]&lt;&gt;""))</f>
        <v>0</v>
      </c>
      <c r="DO173" s="42" t="str">
        <f aca="false">IF(Tasks[[#This Row],[_Res2Text]]="","",IF(Tasks[[#This Row],[_Res2Row]]&gt;0,INDEX(res_Name,Tasks[[#This Row],[_Res2Row]]),TRIM(LEFT(Tasks[[#This Row],[_Res2Text]],FIND("[",Tasks[[#This Row],[_Res2Text]]&amp;"[")-1))))</f>
        <v/>
      </c>
      <c r="DP1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3" s="42" t="n">
        <f aca="false">IF(OR(NOT(Tasks[[#This Row],[_IsLeaf]]=1),Tasks[[#This Row],[_Res2Row]]=0),0,N(Tasks[[#This Row],[_Days]])*HoursPerDay*IF(Tasks[[#This Row],[_Res2Units]]="",DefaultUnits,Tasks[[#This Row],[_Res2Units]]))</f>
        <v>0</v>
      </c>
      <c r="DR173" s="42" t="n">
        <f aca="false">IF(AND(AND(Tasks[[#This Row],[_IsLeaf]]=1,Tasks[[#This Row],[_LeafTotalWork]]&gt;0),Tasks[[#This Row],[_Res2Work]]&gt;0),Tasks[[#This Row],[_Res2Work]]/(Tasks[[#This Row],[_FinishWorkday]]-Tasks[[#This Row],[_StartWorkday]]+1),0)</f>
        <v>0</v>
      </c>
      <c r="DS173" s="42" t="n">
        <f aca="false">Tasks[[#This Row],[_Res2WorkPerWD]]*MAX(0,Tasks[[#This Row],[_StartWorkday]]-1)</f>
        <v>0</v>
      </c>
      <c r="DT173" s="42" t="n">
        <f aca="false">Tasks[[#This Row],[_Res2Work]]*Tasks[[#This Row],[_LeafProgress]]</f>
        <v>0</v>
      </c>
      <c r="DU173" s="42" t="str">
        <f aca="false">IF(Tasks[[#This Row],[_Res3Text]]="","",IF(Tasks[[#This Row],[_Res3Row]]&gt;0,INDEX(res_Name,Tasks[[#This Row],[_Res3Row]]),TRIM(LEFT(Tasks[[#This Row],[_Res3Text]],FIND("[",Tasks[[#This Row],[_Res3Text]]&amp;"[")-1))))</f>
        <v/>
      </c>
      <c r="DV1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3" s="42" t="n">
        <f aca="false">IF(OR(NOT(Tasks[[#This Row],[_IsLeaf]]=1),Tasks[[#This Row],[_Res3Row]]=0),0,N(Tasks[[#This Row],[_Days]])*HoursPerDay*IF(Tasks[[#This Row],[_Res3Units]]="",DefaultUnits,Tasks[[#This Row],[_Res3Units]]))</f>
        <v>0</v>
      </c>
      <c r="DX173" s="42" t="n">
        <f aca="false">IF(AND(AND(Tasks[[#This Row],[_IsLeaf]]=1,Tasks[[#This Row],[_LeafTotalWork]]&gt;0),Tasks[[#This Row],[_Res3Work]]&gt;0),Tasks[[#This Row],[_Res3Work]]/(Tasks[[#This Row],[_FinishWorkday]]-Tasks[[#This Row],[_StartWorkday]]+1),0)</f>
        <v>0</v>
      </c>
      <c r="DY173" s="42" t="n">
        <f aca="false">Tasks[[#This Row],[_Res3WorkPerWD]]*MAX(0,Tasks[[#This Row],[_StartWorkday]]-1)</f>
        <v>0</v>
      </c>
      <c r="DZ173" s="42" t="n">
        <f aca="false">Tasks[[#This Row],[_Res3Work]]*Tasks[[#This Row],[_LeafProgress]]</f>
        <v>0</v>
      </c>
      <c r="EA173" s="42" t="str">
        <f aca="false">IF(Tasks[[#This Row],[_Res4Text]]="","",IF(Tasks[[#This Row],[_Res4Row]]&gt;0,INDEX(res_Name,Tasks[[#This Row],[_Res4Row]]),TRIM(LEFT(Tasks[[#This Row],[_Res4Text]],FIND("[",Tasks[[#This Row],[_Res4Text]]&amp;"[")-1))))</f>
        <v/>
      </c>
      <c r="EB1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3" s="42" t="n">
        <f aca="false">IF(OR(NOT(Tasks[[#This Row],[_IsLeaf]]=1),Tasks[[#This Row],[_Res4Row]]=0),0,N(Tasks[[#This Row],[_Days]])*HoursPerDay*IF(Tasks[[#This Row],[_Res4Units]]="",DefaultUnits,Tasks[[#This Row],[_Res4Units]]))</f>
        <v>0</v>
      </c>
      <c r="ED173" s="42" t="n">
        <f aca="false">IF(AND(AND(Tasks[[#This Row],[_IsLeaf]]=1,Tasks[[#This Row],[_LeafTotalWork]]&gt;0),Tasks[[#This Row],[_Res4Work]]&gt;0),Tasks[[#This Row],[_Res4Work]]/(Tasks[[#This Row],[_FinishWorkday]]-Tasks[[#This Row],[_StartWorkday]]+1),0)</f>
        <v>0</v>
      </c>
      <c r="EE173" s="42" t="n">
        <f aca="false">Tasks[[#This Row],[_Res4WorkPerWD]]*MAX(0,Tasks[[#This Row],[_StartWorkday]]-1)</f>
        <v>0</v>
      </c>
      <c r="EF173" s="42" t="n">
        <f aca="false">Tasks[[#This Row],[_Res4Work]]*Tasks[[#This Row],[_LeafProgress]]</f>
        <v>0</v>
      </c>
      <c r="EG173" s="42" t="n">
        <f aca="false">IF(ISNUMBER(Tasks[[#This Row],[% Complete]]),Tasks[[#This Row],[% Complete]],IF(Tasks[[#This Row],[Stage]]="",0,IFERROR(INDEX(stg_Pct,MATCH(Tasks[[#This Row],[Stage]],stg_Name,0)),0)))</f>
        <v>0</v>
      </c>
      <c r="EH173" s="42" t="n">
        <f aca="false">IF(NOT(Tasks[[#This Row],[_IsLeaf]]=1),0,IF(N(Tasks[[#This Row],[Actual Finish]])&gt;0,1,MIN(1,Tasks[[#This Row],[_Pct]])))</f>
        <v>0</v>
      </c>
      <c r="EI173" s="42" t="n">
        <f aca="false">IF(OR(NOT(Tasks[[#This Row],[_IsLeaf]]=1),Tasks[[#This Row],[_Res1Row]]=0),0,N(Tasks[[#This Row],[_Days]])*HoursPerDay*IF(Tasks[[#This Row],[_Units1]]="",DefaultUnits,Tasks[[#This Row],[_Units1]]))</f>
        <v>0</v>
      </c>
      <c r="EJ173" s="42" t="n">
        <f aca="false">Tasks[[#This Row],[_LeafWork]]+Tasks[[#This Row],[_Res2Work]]+Tasks[[#This Row],[_Res3Work]]+Tasks[[#This Row],[_Res4Work]]</f>
        <v>0</v>
      </c>
      <c r="EK1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3" s="42" t="n">
        <f aca="false">IF(NOT(Tasks[[#This Row],[_IsLeaf]]=1),0,MAX(_xlfn.MAXIFS(Tasks[_Row],Tasks[_Pred1UID],Tasks[[#This Row],[UID]]),_xlfn.MAXIFS(Tasks[_Row],Tasks[_Pred2UID],Tasks[[#This Row],[UID]]),_xlfn.MAXIFS(Tasks[_Row],Tasks[_Pred3UID],Tasks[[#This Row],[UID]]),_xlfn.MAXIFS(Tasks[_Row],Tasks[_Pred4UID],Tasks[[#This Row],[UID]])))</f>
        <v>0</v>
      </c>
      <c r="ET1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3" s="89" t="str">
        <f aca="false">IF(NOT(Tasks[[#This Row],[_IsLeaf]]=1),"",IF(N(Tasks[[#This Row],[_Days]])&lt;=0,Tasks[[#This Row],[_LeafLateFinish]],WORKDAY.INTL(Tasks[[#This Row],[_LeafLateFinish]],-(Tasks[[#This Row],[_Days]]-1),WorkWeek,Holidays)))</f>
        <v/>
      </c>
      <c r="EW1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3" s="88" t="b">
        <f aca="false">AND(Tasks[[#This Row],[_IsLeaf]]=1,Tasks[[#This Row],[_LeafProgress]]&lt;1,N(Tasks[[#This Row],[_LeafTotalSlack]])&lt;=CriticalSlackDays)</f>
        <v>0</v>
      </c>
      <c r="EY173" s="42" t="n">
        <f aca="false">IF(AND(Tasks[[#This Row],[_IsLeaf]]=1,Tasks[[#This Row],[_ConstraintCode]]=1,Tasks[[#This Row],[Mode]]&lt;&gt;"Manual",N(Tasks[[#This Row],[Actual Start]])=0),MAX(0,N(Tasks[[#This Row],[Free Slack]])),0)</f>
        <v>0</v>
      </c>
      <c r="EZ173" s="89" t="str">
        <f aca="false">IF(NOT(Tasks[[#This Row],[_IsLeaf]]=1),"",IF(Tasks[[#This Row],[_AlapShift]]=0,Tasks[[#This Row],[_LeafCalcStart]],WORKDAY.INTL(Tasks[[#This Row],[_LeafCalcStart]],Tasks[[#This Row],[_AlapShift]],WorkWeek,Holidays)))</f>
        <v/>
      </c>
      <c r="FA173" s="89" t="str">
        <f aca="false">IF(NOT(Tasks[[#This Row],[_IsLeaf]]=1),"",IF(Tasks[[#This Row],[_AlapShift]]=0,Tasks[[#This Row],[_LeafCalcFinish]],WORKDAY.INTL(Tasks[[#This Row],[_LeafCalcFinish]],Tasks[[#This Row],[_AlapShift]],WorkWeek,Holidays)))</f>
        <v/>
      </c>
      <c r="FB173" s="89" t="str">
        <f aca="false">IF(NOT(Tasks[[#This Row],[_IsLeaf]]=1),"",IF(Tasks[[#This Row],[_AlapShift]]=0,Tasks[[#This Row],[_LeafFcstStart]],WORKDAY.INTL(Tasks[[#This Row],[_LeafFcstStart]],Tasks[[#This Row],[_AlapShift]],WorkWeek,Holidays)))</f>
        <v/>
      </c>
      <c r="FC173" s="89" t="str">
        <f aca="false">IF(NOT(Tasks[[#This Row],[_IsLeaf]]=1),"",IF(Tasks[[#This Row],[_AlapShift]]=0,Tasks[[#This Row],[_LeafFcstFinish]],WORKDAY.INTL(Tasks[[#This Row],[_LeafFcstFinish]],Tasks[[#This Row],[_AlapShift]],WorkWeek,Holidays)))</f>
        <v/>
      </c>
      <c r="FD173" s="89" t="str">
        <f aca="false">IF(Tasks[[#This Row],[Task Name]]="","",IF(Tasks[[#This Row],[_IsSummary]],MIN(INDEX(Tasks[_ShownCalcStart],Tasks[[#This Row],[_Row]]+1):INDEX(Tasks[_ShownCalcStart],Tasks[[#This Row],[_Row]]+Tasks[[#This Row],[_Descendants]])),Tasks[[#This Row],[_ShownCalcStart]]))</f>
        <v/>
      </c>
      <c r="FE173" s="89" t="str">
        <f aca="false">IF(Tasks[[#This Row],[Task Name]]="","",IF(Tasks[[#This Row],[_IsSummary]],MAX(INDEX(Tasks[_ShownCalcFinish],Tasks[[#This Row],[_Row]]+1):INDEX(Tasks[_ShownCalcFinish],Tasks[[#This Row],[_Row]]+Tasks[[#This Row],[_Descendants]])),Tasks[[#This Row],[_ShownCalcFinish]]))</f>
        <v/>
      </c>
      <c r="FF1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3" s="42" t="n">
        <f aca="false">IF(AND(Tasks[[#This Row],[_IsLeaf]]=1,Tasks[[#This Row],[_LeafTotalWork]]&gt;0),NETWORKDAYS.INTL(ProjectStart,Tasks[[#This Row],[_ShownFcstStart]],WorkWeek,Holidays),0)</f>
        <v>0</v>
      </c>
      <c r="FS173" s="42" t="n">
        <f aca="false">IF(AND(Tasks[[#This Row],[_IsLeaf]]=1,Tasks[[#This Row],[_LeafTotalWork]]&gt;0),MAX(Tasks[[#This Row],[_StartWorkday]],NETWORKDAYS.INTL(ProjectStart,Tasks[[#This Row],[_ShownFcstFinish]],WorkWeek,Holidays)),0)</f>
        <v>0</v>
      </c>
      <c r="FT173" s="42" t="n">
        <f aca="false">IF(AND(Tasks[[#This Row],[_IsLeaf]]=1,Tasks[[#This Row],[_LeafTotalWork]]&gt;0),Tasks[[#This Row],[_LeafWork]]/(Tasks[[#This Row],[_FinishWorkday]]-Tasks[[#This Row],[_StartWorkday]]+1),0)</f>
        <v>0</v>
      </c>
      <c r="FU173" s="42" t="n">
        <f aca="false">Tasks[[#This Row],[_WorkPerWorkday]]*(Tasks[[#This Row],[_StartWorkday]]-1)</f>
        <v>-0</v>
      </c>
      <c r="FV173" s="42" t="n">
        <f aca="false">IF(Tasks[[#This Row],[_IsLeaf]]=1,MAX(N(Tasks[[#This Row],[_Days]]),0.1),0)</f>
        <v>0</v>
      </c>
      <c r="FW173" s="42" t="n">
        <f aca="false">Tasks[[#This Row],[_WeightDur]]*Tasks[[#This Row],[_LeafProgress]]</f>
        <v>0</v>
      </c>
      <c r="FX173" s="42" t="n">
        <f aca="false">Tasks[[#This Row],[_WeightDur]]*Tasks[[#This Row],[_PlannedPct]]</f>
        <v>0</v>
      </c>
      <c r="FY1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3" s="42" t="str">
        <f aca="false">IF(AND(Tasks[[#This Row],[_IsLeaf]]=1,N(Tasks[[#This Row],[_Days]])=0,Tasks[[#This Row],[_LeafProgress]]&lt;1),Tasks[[#This Row],[_ShownFcstFinish]]+Tasks[[#This Row],[_Row]]/100000,"")</f>
        <v/>
      </c>
      <c r="GA1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3" s="42" t="str">
        <f aca="false">IF(Tasks[[#This Row],[Task Name]]="","",LEFT(Tasks[[#This Row],[WBS]],FIND(".",Tasks[[#This Row],[WBS]]&amp;".")-1))</f>
        <v/>
      </c>
      <c r="GC173" s="42" t="str">
        <f aca="false">IF(AND(Tasks[[#This Row],[Task Name]]&lt;&gt;"",Tasks[[#This Row],[_Level]]=1),Tasks[[#This Row],[_Row]],"")</f>
        <v/>
      </c>
      <c r="GD173" s="42" t="str">
        <f aca="false">IF(AND(Tasks[[#This Row],[_IsLeaf]]=1,N(Tasks[[#This Row],[_Days]])=0),Tasks[[#This Row],[Planned Finish]]+Tasks[[#This Row],[_Row]]/100000,"")</f>
        <v/>
      </c>
      <c r="GE173" s="42" t="str">
        <f aca="false">IF(AND(Tasks[[#This Row],[_IsLeaf]]=1,Tasks[[#This Row],[_LeafProgress]]&lt;1,OR(N(Tasks[[#This Row],[Finish Var]])&gt;0,Tasks[[#This Row],[Status]]="Late Start")),MAX(0,Tasks[[#This Row],[Finish Var]])+1-Tasks[[#This Row],[_Row]]/1000000,"")</f>
        <v/>
      </c>
      <c r="GF173" s="42" t="str">
        <f aca="false">IF(AND(Tasks[[#This Row],[_IsLeaf]]=1,N(Tasks[[#This Row],[Actual Start]])=0,Tasks[[#This Row],[_ShownFcstStart]]&gt;=StatusDate,Tasks[[#This Row],[_ShownFcstStart]]&lt;=LookaheadEnd),Tasks[[#This Row],[_ShownFcstStart]]+Tasks[[#This Row],[_Row]]/100000,"")</f>
        <v/>
      </c>
      <c r="GG173" s="42" t="str">
        <f aca="false">IF(AND(Tasks[[#This Row],[_IsLeaf]]=1,Tasks[[#This Row],[_LeafProgress]]&lt;1,Tasks[[#This Row],[_ShownFcstFinish]]&gt;=StatusDate,Tasks[[#This Row],[_ShownFcstFinish]]&lt;=LookaheadEnd),Tasks[[#This Row],[_ShownFcstFinish]]+Tasks[[#This Row],[_Row]]/100000,"")</f>
        <v/>
      </c>
      <c r="GH173" s="42" t="str">
        <f aca="false">IF(Tasks[[#This Row],[_LeafCritical]],Tasks[[#This Row],[_ShownFcstStart]]+Tasks[[#This Row],[_Row]]/100000,"")</f>
        <v/>
      </c>
      <c r="GI173" s="42" t="n">
        <f aca="false">Tasks[[#This Row],[_LeafWork]]*Tasks[[#This Row],[_LeafProgress]]</f>
        <v>0</v>
      </c>
      <c r="GJ173" s="89" t="str">
        <f aca="false">IF(AND(Tasks[[#This Row],[_IsLeaf]]=1,Tasks[[#This Row],[_LeafProgress]]&gt;=1),IF(N(Tasks[[#This Row],[Actual Finish]])&gt;0,Tasks[[#This Row],[Actual Finish]],Tasks[[#This Row],[_ShownFcstFinish]]),"")</f>
        <v/>
      </c>
      <c r="GK173" s="42" t="n">
        <f aca="false">IF(Tasks[[#This Row],[_IsLeaf]]=1,N(Tasks[[#This Row],[Story Points]]),0)</f>
        <v>0</v>
      </c>
      <c r="GL173" s="42" t="str">
        <f aca="false">""</f>
        <v/>
      </c>
      <c r="GM173" s="88" t="b">
        <f aca="false">IF(Tasks[[#This Row],[Task Name]]="",FALSE(),AND(Tasks[[#This Row],[_IsLeaf]]=1,N(Tasks[[#This Row],[_Days]])=0))</f>
        <v>0</v>
      </c>
      <c r="GN173" s="89" t="n">
        <f aca="false">IF(Tasks[[#This Row],[Task Name]]="",0,IF(AND(Tasks[[#This Row],[_IsLeaf]]=1,NOT(Tasks[[#This Row],[_IsMilestone]]),N(Tasks[[#This Row],[Progress]])&gt;0),Tasks[[#This Row],[Start]],0))</f>
        <v>0</v>
      </c>
      <c r="GO173" s="89" t="n">
        <f aca="false">IF(Tasks[[#This Row],[_DoneFrom]]=0,0,IF(Tasks[[#This Row],[Progress]]&gt;=1,Tasks[[#This Row],[Finish]],MAX(Tasks[[#This Row],[_DoneFrom]],Tasks[[#This Row],[Start]]+ROUND((Tasks[[#This Row],[Finish]]-Tasks[[#This Row],[Start]]+1)*Tasks[[#This Row],[Progress]],0)-1)))</f>
        <v>0</v>
      </c>
      <c r="GP173" s="89" t="n">
        <f aca="false">IF(Tasks[[#This Row],[Task Name]]="",0,IF(OR(NOT(Tasks[[#This Row],[_IsLeaf]]=1),Tasks[[#This Row],[_IsMilestone]],N(Tasks[[#This Row],[Progress]])&gt;=1),0,IF(Tasks[[#This Row],[_DoneTo]]&gt;0,Tasks[[#This Row],[_DoneTo]]+1,Tasks[[#This Row],[Start]])))</f>
        <v>0</v>
      </c>
      <c r="GQ173" s="89" t="n">
        <f aca="false">IF(Tasks[[#This Row],[_RemFrom]]=0,0,Tasks[[#This Row],[Finish]])</f>
        <v>0</v>
      </c>
      <c r="GR173" s="88" t="b">
        <f aca="false">IF(Tasks[[#This Row],[Task Name]]="",FALSE(),OR(NOT(BaselineSet),N(Tasks[[#This Row],[Baseline Start]])&gt;0))</f>
        <v>0</v>
      </c>
      <c r="GS1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3" s="90" t="str">
        <f aca="false">IF(Tasks[[#This Row],[_IsLeaf]]=1,Tasks[[#This Row],[_Row]],"")</f>
        <v/>
      </c>
      <c r="GW173" s="90" t="str">
        <f aca="false">IFERROR(INDEX(Tasks[UID],SMALL(Tasks[_PickKey],Tasks[[#This Row],[_Row]]))&amp;" "&amp;INDEX(Tasks[Task Name],SMALL(Tasks[_PickKey],Tasks[[#This Row],[_Row]])),"")</f>
        <v/>
      </c>
      <c r="GX173" s="42" t="str">
        <f aca="false">IF(Tasks[[#This Row],[Task Name]]="","",IF(Tasks[[#This Row],[_IsSummary]],NETWORKDAYS.INTL(Tasks[[#This Row],[Start]],Tasks[[#This Row],[Finish]],WorkWeek,Holidays),N(Tasks[[#This Row],[_Days]])))</f>
        <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3"/>
      <c r="U174" s="23"/>
      <c r="V174" s="83"/>
      <c r="W174" s="23"/>
      <c r="X174" s="83"/>
      <c r="Y174" s="23"/>
      <c r="Z174" s="83"/>
      <c r="AA174" s="23"/>
      <c r="AB174" s="23"/>
      <c r="AC174" s="7"/>
      <c r="AD174" s="7"/>
      <c r="AE174" s="62" t="str">
        <f aca="false">IF(Tasks[[#This Row],[Task Name]]="","",IF(Tasks[[#This Row],[_IsSummary]],MIN(INDEX(Tasks[_ShownFcstStart],Tasks[[#This Row],[_Row]]+1):INDEX(Tasks[_ShownFcstStart],Tasks[[#This Row],[_Row]]+Tasks[[#This Row],[_Descendants]])),Tasks[[#This Row],[_ShownFcstStart]]))</f>
        <v/>
      </c>
      <c r="AF174" s="62"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4" s="7"/>
      <c r="AK174" s="22"/>
      <c r="AL174" s="23"/>
      <c r="AM174" s="7"/>
      <c r="AN174" s="46"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2" t="str">
        <f aca="false">IF(Tasks[[#This Row],[Task Name]]="","",IF(N(Tasks[[#This Row],[Baseline Start]])&gt;0,Tasks[[#This Row],[Baseline Start]],Tasks[[#This Row],[_CalcStart]]))</f>
        <v/>
      </c>
      <c r="AR174" s="62" t="str">
        <f aca="false">IF(Tasks[[#This Row],[Task Name]]="","",IF(N(Tasks[[#This Row],[Baseline Finish]])&gt;0,Tasks[[#This Row],[Baseline Finish]],Tasks[[#This Row],[_CalcFinish]]))</f>
        <v/>
      </c>
      <c r="AS174" s="46" t="str">
        <f aca="false">IF(Tasks[[#This Row],[Task Name]]="","",IF(Tasks[[#This Row],[Start]]&gt;=Tasks[[#This Row],[Planned Start]],NETWORKDAYS.INTL(Tasks[[#This Row],[Planned Start]],Tasks[[#This Row],[Start]],WorkWeek,Holidays)-1,1-NETWORKDAYS.INTL(Tasks[[#This Row],[Start]],Tasks[[#This Row],[Planned Start]],WorkWeek,Holidays)))</f>
        <v/>
      </c>
      <c r="AT174" s="62" t="str">
        <f aca="false">IF(Tasks[[#This Row],[Task Name]]="","",IF(Tasks[[#This Row],[_IsSummary]],MIN(INDEX(Tasks[_LeafLateStart],Tasks[[#This Row],[_Row]]+1):INDEX(Tasks[_LeafLateStart],Tasks[[#This Row],[_Row]]+Tasks[[#This Row],[_Descendants]])),Tasks[[#This Row],[_LeafLateStart]]))</f>
        <v/>
      </c>
      <c r="AU174" s="62" t="str">
        <f aca="false">IF(Tasks[[#This Row],[Task Name]]="","",IF(Tasks[[#This Row],[_IsSummary]],MAX(INDEX(Tasks[_LeafLateFinish],Tasks[[#This Row],[_Row]]+1):INDEX(Tasks[_LeafLateFinish],Tasks[[#This Row],[_Row]]+Tasks[[#This Row],[_Descendants]])),Tasks[[#This Row],[_LeafLateFinish]]))</f>
        <v/>
      </c>
      <c r="AV174" s="46"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4"/>
      <c r="BA1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5"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6"/>
      <c r="BJ174" s="22"/>
      <c r="BK174" s="46" t="str">
        <f aca="false">IF(OR(Tasks[[#This Row],[Task Name]]="",Tasks[[#This Row],[Baseline Duration]]=""),"",Tasks[[#This Row],[_SpanDays]]-N(Tasks[[#This Row],[Baseline Duration]]))</f>
        <v/>
      </c>
      <c r="BL174" s="85" t="str">
        <f aca="false">IF(OR(Tasks[[#This Row],[Task Name]]="",Tasks[[#This Row],[Baseline Work]]=""),"",Tasks[[#This Row],[Work]]-N(Tasks[[#This Row],[Baseline Work]]))</f>
        <v/>
      </c>
      <c r="BM174" s="62" t="str">
        <f aca="false">IF(Tasks[[#This Row],[Task Name]]="","",IF(OR(TakeBaseline="Yes",N(Tasks[[#This Row],[Baseline Start]])=0),Tasks[[#This Row],[Start]],Tasks[[#This Row],[Baseline Start]]))</f>
        <v/>
      </c>
      <c r="BN174" s="62"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5" t="str">
        <f aca="false">IF(Tasks[[#This Row],[Task Name]]="","",IF(OR(TakeBaseline="Yes",N(Tasks[[#This Row],[Baseline Work]])=0),Tasks[[#This Row],[Work]],Tasks[[#This Row],[Baseline Work]]))</f>
        <v/>
      </c>
      <c r="BQ174" s="7"/>
      <c r="BR174" s="7"/>
      <c r="BS174" s="22"/>
      <c r="BT174" s="87"/>
      <c r="BU174" s="42" t="str">
        <f aca="false">IF(Tasks[[#This Row],[Task Name]]="","",MAX(1,N(Tasks[[#This Row],[Level]])))</f>
        <v/>
      </c>
      <c r="BV174" s="42" t="n">
        <f aca="false">ROW()-ROW(Tasks[[#Headers],[ID]])</f>
        <v>169</v>
      </c>
      <c r="BW174" s="42" t="n">
        <f aca="false">IF(OR(Tasks[[#This Row],[Task Name]]="",Tasks[[#This Row],[_Level]]&lt;=1),0,IFERROR(LOOKUP(2,1/(Tasks[[#Headers],[_Level]]:Tasks[[#This Row],[_Level]]=Tasks[[#This Row],[_Level]]-1),ROW(Tasks[[#Headers],[_Level]]:Tasks[[#This Row],[_Level]])),0))</f>
        <v>0</v>
      </c>
      <c r="BX174" s="42" t="n">
        <f aca="false">IFERROR(N(INDEX(Tasks[_Level],Tasks[[#This Row],[_Row]]+1)),0)</f>
        <v>0</v>
      </c>
      <c r="BY174" s="88" t="b">
        <f aca="false">AND(Tasks[[#This Row],[Task Name]]&lt;&gt;"",Tasks[[#This Row],[_NextLevel]]&gt;Tasks[[#This Row],[_Level]])</f>
        <v>0</v>
      </c>
      <c r="BZ174" s="42" t="n">
        <f aca="false">IF(Tasks[[#This Row],[_IsSummary]],COUNTIF(Tasks[WBS],Tasks[[#This Row],[WBS]]&amp;".*"),0)</f>
        <v>0</v>
      </c>
      <c r="CA174" s="42" t="n">
        <f aca="false">IF(AND(Tasks[[#This Row],[Task Name]]&lt;&gt;"",NOT(Tasks[[#This Row],[_IsSummary]])),1,0)</f>
        <v>0</v>
      </c>
      <c r="CB174" s="42" t="n">
        <f aca="false">IF(N(Tasks[[#This Row],[_Pred1UID]])=0,0,IFERROR(MATCH(Tasks[[#This Row],[_Pred1UID]],Tasks[UID],0),-1))</f>
        <v>0</v>
      </c>
      <c r="CC174" s="42" t="n">
        <f aca="false">IF(N(Tasks[[#This Row],[_Pred2UID]])=0,0,IFERROR(MATCH(Tasks[[#This Row],[_Pred2UID]],Tasks[UID],0),-1))</f>
        <v>0</v>
      </c>
      <c r="CD174" s="42" t="n">
        <f aca="false">IF(N(Tasks[[#This Row],[_Pred3UID]])=0,0,IFERROR(MATCH(Tasks[[#This Row],[_Pred3UID]],Tasks[UID],0),-1))</f>
        <v>0</v>
      </c>
      <c r="CE174" s="42" t="n">
        <f aca="false">IF(N(Tasks[[#This Row],[_Pred4UID]])=0,0,IFERROR(MATCH(Tasks[[#This Row],[_Pred4UID]],Tasks[UID],0),-1))</f>
        <v>0</v>
      </c>
      <c r="CF1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4" s="89" t="n">
        <f aca="false">IF(OR(Tasks[[#This Row],[_ConstraintCode]]=2,Tasks[[#This Row],[_ConstraintCode]]=3,Tasks[[#This Row],[_ConstraintCode]]=4,Tasks[[#This Row],[_ConstraintCode]]=6),Tasks[[#This Row],[_ConstraintStart]],0)</f>
        <v>0</v>
      </c>
      <c r="CI174" s="89" t="n">
        <f aca="false">IF(OR(Tasks[[#This Row],[_ConstraintCode]]=2,Tasks[[#This Row],[_ConstraintCode]]=3,Tasks[[#This Row],[_ConstraintCode]]=5,Tasks[[#This Row],[_ConstraintCode]]=7),Tasks[[#This Row],[_ConstraintStart]],2958465)</f>
        <v>2958465</v>
      </c>
      <c r="CJ1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4" s="89" t="str">
        <f aca="false">IF(NOT(Tasks[[#This Row],[_IsLeaf]]=1),"",IF(N(Tasks[[#This Row],[_Days]])&lt;=0,Tasks[[#This Row],[_LeafCalcStart]],WORKDAY.INTL(Tasks[[#This Row],[_LeafCalcStart]],Tasks[[#This Row],[_Days]]-1,WorkWeek,Holidays)))</f>
        <v/>
      </c>
      <c r="CL1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4" s="42" t="str">
        <f aca="false">IF(Tasks[[#This Row],[_Predecessors]]="","",TRIM(MID(SUBSTITUTE(SUBSTITUTE(SUBSTITUTE(UPPER(Tasks[[#This Row],[_Predecessors]]),";",",")," ",""),",",REPT(" ",99)),1,99)))</f>
        <v/>
      </c>
      <c r="CO174" s="42" t="str">
        <f aca="false">IF(Tasks[[#This Row],[_Pred1Text]]="","",IFERROR(VALUE(LEFT(Tasks[[#This Row],[_Pred1Text]],MIN(FIND("F",Tasks[[#This Row],[_Pred1Text]]&amp;"F"),FIND("S",Tasks[[#This Row],[_Pred1Text]]&amp;"S"),FIND("+",Tasks[[#This Row],[_Pred1Text]]&amp;"+"),FIND("-",Tasks[[#This Row],[_Pred1Text]]&amp;"-"))-1)),""))</f>
        <v/>
      </c>
      <c r="CP1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4" s="42" t="str">
        <f aca="false">IF(Tasks[[#This Row],[_Pred1Text]]="","",TRIM(MID(SUBSTITUTE(SUBSTITUTE(SUBSTITUTE(UPPER(Tasks[[#This Row],[_Predecessors]]),";",",")," ",""),",",REPT(" ",99)),100,99)))</f>
        <v/>
      </c>
      <c r="CS174" s="42" t="str">
        <f aca="false">IF(Tasks[[#This Row],[_Pred2Text]]="","",IFERROR(VALUE(LEFT(Tasks[[#This Row],[_Pred2Text]],MIN(FIND("F",Tasks[[#This Row],[_Pred2Text]]&amp;"F"),FIND("S",Tasks[[#This Row],[_Pred2Text]]&amp;"S"),FIND("+",Tasks[[#This Row],[_Pred2Text]]&amp;"+"),FIND("-",Tasks[[#This Row],[_Pred2Text]]&amp;"-"))-1)),""))</f>
        <v/>
      </c>
      <c r="CT1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4" s="42" t="str">
        <f aca="false">IF(Tasks[[#This Row],[_Pred2Text]]="","",TRIM(MID(SUBSTITUTE(SUBSTITUTE(SUBSTITUTE(UPPER(Tasks[[#This Row],[_Predecessors]]),";",",")," ",""),",",REPT(" ",99)),199,99)))</f>
        <v/>
      </c>
      <c r="CW174" s="42" t="str">
        <f aca="false">IF(Tasks[[#This Row],[_Pred3Text]]="","",IFERROR(VALUE(LEFT(Tasks[[#This Row],[_Pred3Text]],MIN(FIND("F",Tasks[[#This Row],[_Pred3Text]]&amp;"F"),FIND("S",Tasks[[#This Row],[_Pred3Text]]&amp;"S"),FIND("+",Tasks[[#This Row],[_Pred3Text]]&amp;"+"),FIND("-",Tasks[[#This Row],[_Pred3Text]]&amp;"-"))-1)),""))</f>
        <v/>
      </c>
      <c r="CX1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4" s="42" t="str">
        <f aca="false">IF(Tasks[[#This Row],[_Pred3Text]]="","",TRIM(MID(SUBSTITUTE(SUBSTITUTE(SUBSTITUTE(UPPER(Tasks[[#This Row],[_Predecessors]]),";",",")," ",""),",",REPT(" ",99)),298,99)))</f>
        <v/>
      </c>
      <c r="DA174" s="42" t="str">
        <f aca="false">IF(Tasks[[#This Row],[_Pred4Text]]="","",IFERROR(VALUE(LEFT(Tasks[[#This Row],[_Pred4Text]],MIN(FIND("F",Tasks[[#This Row],[_Pred4Text]]&amp;"F"),FIND("S",Tasks[[#This Row],[_Pred4Text]]&amp;"S"),FIND("+",Tasks[[#This Row],[_Pred4Text]]&amp;"+"),FIND("-",Tasks[[#This Row],[_Pred4Text]]&amp;"-"))-1)),""))</f>
        <v/>
      </c>
      <c r="DB1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4" s="42" t="str">
        <f aca="false">IF(OR(Tasks[[#This Row],[Task Name]]="",Tasks[[#This Row],[_Resources]]=""),"",TRIM(MID(SUBSTITUTE(Tasks[[#This Row],[_Resources]],",",REPT(" ",99)),1,99)))</f>
        <v/>
      </c>
      <c r="DE174" s="42" t="str">
        <f aca="false">IF(Tasks[[#This Row],[_Res1Text]]="","",TRIM(MID(SUBSTITUTE(Tasks[[#This Row],[_Resources]],",",REPT(" ",99)),100,99)))</f>
        <v/>
      </c>
      <c r="DF174" s="42" t="str">
        <f aca="false">IF(Tasks[[#This Row],[_Res2Text]]="","",TRIM(MID(SUBSTITUTE(Tasks[[#This Row],[_Resources]],",",REPT(" ",99)),199,99)))</f>
        <v/>
      </c>
      <c r="DG174" s="42" t="str">
        <f aca="false">IF(Tasks[[#This Row],[_Res3Text]]="","",TRIM(MID(SUBSTITUTE(Tasks[[#This Row],[_Resources]],",",REPT(" ",99)),298,99)))</f>
        <v/>
      </c>
      <c r="DH174" s="42" t="n">
        <f aca="false">IF(Tasks[[#This Row],[_Res1Text]]="",0,IFERROR(MATCH(TRIM(LEFT(Tasks[[#This Row],[_Res1Text]],FIND("[",Tasks[[#This Row],[_Res1Text]]&amp;"[")-1)),res_Name,0),IFERROR(MATCH(TRIM(LEFT(Tasks[[#This Row],[_Res1Text]],FIND("[",Tasks[[#This Row],[_Res1Text]]&amp;"[")-1)),res_Initials,0),0)))</f>
        <v>0</v>
      </c>
      <c r="DI174" s="42" t="n">
        <f aca="false">IF(Tasks[[#This Row],[_Res2Text]]="",0,IFERROR(MATCH(TRIM(LEFT(Tasks[[#This Row],[_Res2Text]],FIND("[",Tasks[[#This Row],[_Res2Text]]&amp;"[")-1)),res_Name,0),IFERROR(MATCH(TRIM(LEFT(Tasks[[#This Row],[_Res2Text]],FIND("[",Tasks[[#This Row],[_Res2Text]]&amp;"[")-1)),res_Initials,0),0)))</f>
        <v>0</v>
      </c>
      <c r="DJ174" s="42" t="n">
        <f aca="false">IF(Tasks[[#This Row],[_Res3Text]]="",0,IFERROR(MATCH(TRIM(LEFT(Tasks[[#This Row],[_Res3Text]],FIND("[",Tasks[[#This Row],[_Res3Text]]&amp;"[")-1)),res_Name,0),IFERROR(MATCH(TRIM(LEFT(Tasks[[#This Row],[_Res3Text]],FIND("[",Tasks[[#This Row],[_Res3Text]]&amp;"[")-1)),res_Initials,0),0)))</f>
        <v>0</v>
      </c>
      <c r="DK174" s="42" t="n">
        <f aca="false">IF(Tasks[[#This Row],[_Res4Text]]="",0,IFERROR(MATCH(TRIM(LEFT(Tasks[[#This Row],[_Res4Text]],FIND("[",Tasks[[#This Row],[_Res4Text]]&amp;"[")-1)),res_Name,0),IFERROR(MATCH(TRIM(LEFT(Tasks[[#This Row],[_Res4Text]],FIND("[",Tasks[[#This Row],[_Res4Text]]&amp;"[")-1)),res_Initials,0),0)))</f>
        <v>0</v>
      </c>
      <c r="DL174" s="42" t="str">
        <f aca="false">IF(Tasks[[#This Row],[_Res1Text]]="","",IF(Tasks[[#This Row],[_Res1Row]]&gt;0,INDEX(res_Name,Tasks[[#This Row],[_Res1Row]]),TRIM(LEFT(Tasks[[#This Row],[_Res1Text]],FIND("[",Tasks[[#This Row],[_Res1Text]]&amp;"[")-1))))</f>
        <v/>
      </c>
      <c r="DM1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4" s="42" t="n">
        <f aca="false">IF(NOT(Tasks[[#This Row],[_IsLeaf]]=1),0,(Tasks[[#This Row],[_Resource1]]&lt;&gt;"")+(Tasks[[#This Row],[_Res2]]&lt;&gt;"")+(Tasks[[#This Row],[_Res3]]&lt;&gt;"")+(Tasks[[#This Row],[_Res4]]&lt;&gt;""))</f>
        <v>0</v>
      </c>
      <c r="DO174" s="42" t="str">
        <f aca="false">IF(Tasks[[#This Row],[_Res2Text]]="","",IF(Tasks[[#This Row],[_Res2Row]]&gt;0,INDEX(res_Name,Tasks[[#This Row],[_Res2Row]]),TRIM(LEFT(Tasks[[#This Row],[_Res2Text]],FIND("[",Tasks[[#This Row],[_Res2Text]]&amp;"[")-1))))</f>
        <v/>
      </c>
      <c r="DP1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4" s="42" t="n">
        <f aca="false">IF(OR(NOT(Tasks[[#This Row],[_IsLeaf]]=1),Tasks[[#This Row],[_Res2Row]]=0),0,N(Tasks[[#This Row],[_Days]])*HoursPerDay*IF(Tasks[[#This Row],[_Res2Units]]="",DefaultUnits,Tasks[[#This Row],[_Res2Units]]))</f>
        <v>0</v>
      </c>
      <c r="DR174" s="42" t="n">
        <f aca="false">IF(AND(AND(Tasks[[#This Row],[_IsLeaf]]=1,Tasks[[#This Row],[_LeafTotalWork]]&gt;0),Tasks[[#This Row],[_Res2Work]]&gt;0),Tasks[[#This Row],[_Res2Work]]/(Tasks[[#This Row],[_FinishWorkday]]-Tasks[[#This Row],[_StartWorkday]]+1),0)</f>
        <v>0</v>
      </c>
      <c r="DS174" s="42" t="n">
        <f aca="false">Tasks[[#This Row],[_Res2WorkPerWD]]*MAX(0,Tasks[[#This Row],[_StartWorkday]]-1)</f>
        <v>0</v>
      </c>
      <c r="DT174" s="42" t="n">
        <f aca="false">Tasks[[#This Row],[_Res2Work]]*Tasks[[#This Row],[_LeafProgress]]</f>
        <v>0</v>
      </c>
      <c r="DU174" s="42" t="str">
        <f aca="false">IF(Tasks[[#This Row],[_Res3Text]]="","",IF(Tasks[[#This Row],[_Res3Row]]&gt;0,INDEX(res_Name,Tasks[[#This Row],[_Res3Row]]),TRIM(LEFT(Tasks[[#This Row],[_Res3Text]],FIND("[",Tasks[[#This Row],[_Res3Text]]&amp;"[")-1))))</f>
        <v/>
      </c>
      <c r="DV1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4" s="42" t="n">
        <f aca="false">IF(OR(NOT(Tasks[[#This Row],[_IsLeaf]]=1),Tasks[[#This Row],[_Res3Row]]=0),0,N(Tasks[[#This Row],[_Days]])*HoursPerDay*IF(Tasks[[#This Row],[_Res3Units]]="",DefaultUnits,Tasks[[#This Row],[_Res3Units]]))</f>
        <v>0</v>
      </c>
      <c r="DX174" s="42" t="n">
        <f aca="false">IF(AND(AND(Tasks[[#This Row],[_IsLeaf]]=1,Tasks[[#This Row],[_LeafTotalWork]]&gt;0),Tasks[[#This Row],[_Res3Work]]&gt;0),Tasks[[#This Row],[_Res3Work]]/(Tasks[[#This Row],[_FinishWorkday]]-Tasks[[#This Row],[_StartWorkday]]+1),0)</f>
        <v>0</v>
      </c>
      <c r="DY174" s="42" t="n">
        <f aca="false">Tasks[[#This Row],[_Res3WorkPerWD]]*MAX(0,Tasks[[#This Row],[_StartWorkday]]-1)</f>
        <v>0</v>
      </c>
      <c r="DZ174" s="42" t="n">
        <f aca="false">Tasks[[#This Row],[_Res3Work]]*Tasks[[#This Row],[_LeafProgress]]</f>
        <v>0</v>
      </c>
      <c r="EA174" s="42" t="str">
        <f aca="false">IF(Tasks[[#This Row],[_Res4Text]]="","",IF(Tasks[[#This Row],[_Res4Row]]&gt;0,INDEX(res_Name,Tasks[[#This Row],[_Res4Row]]),TRIM(LEFT(Tasks[[#This Row],[_Res4Text]],FIND("[",Tasks[[#This Row],[_Res4Text]]&amp;"[")-1))))</f>
        <v/>
      </c>
      <c r="EB1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4" s="42" t="n">
        <f aca="false">IF(OR(NOT(Tasks[[#This Row],[_IsLeaf]]=1),Tasks[[#This Row],[_Res4Row]]=0),0,N(Tasks[[#This Row],[_Days]])*HoursPerDay*IF(Tasks[[#This Row],[_Res4Units]]="",DefaultUnits,Tasks[[#This Row],[_Res4Units]]))</f>
        <v>0</v>
      </c>
      <c r="ED174" s="42" t="n">
        <f aca="false">IF(AND(AND(Tasks[[#This Row],[_IsLeaf]]=1,Tasks[[#This Row],[_LeafTotalWork]]&gt;0),Tasks[[#This Row],[_Res4Work]]&gt;0),Tasks[[#This Row],[_Res4Work]]/(Tasks[[#This Row],[_FinishWorkday]]-Tasks[[#This Row],[_StartWorkday]]+1),0)</f>
        <v>0</v>
      </c>
      <c r="EE174" s="42" t="n">
        <f aca="false">Tasks[[#This Row],[_Res4WorkPerWD]]*MAX(0,Tasks[[#This Row],[_StartWorkday]]-1)</f>
        <v>0</v>
      </c>
      <c r="EF174" s="42" t="n">
        <f aca="false">Tasks[[#This Row],[_Res4Work]]*Tasks[[#This Row],[_LeafProgress]]</f>
        <v>0</v>
      </c>
      <c r="EG174" s="42" t="n">
        <f aca="false">IF(ISNUMBER(Tasks[[#This Row],[% Complete]]),Tasks[[#This Row],[% Complete]],IF(Tasks[[#This Row],[Stage]]="",0,IFERROR(INDEX(stg_Pct,MATCH(Tasks[[#This Row],[Stage]],stg_Name,0)),0)))</f>
        <v>0</v>
      </c>
      <c r="EH174" s="42" t="n">
        <f aca="false">IF(NOT(Tasks[[#This Row],[_IsLeaf]]=1),0,IF(N(Tasks[[#This Row],[Actual Finish]])&gt;0,1,MIN(1,Tasks[[#This Row],[_Pct]])))</f>
        <v>0</v>
      </c>
      <c r="EI174" s="42" t="n">
        <f aca="false">IF(OR(NOT(Tasks[[#This Row],[_IsLeaf]]=1),Tasks[[#This Row],[_Res1Row]]=0),0,N(Tasks[[#This Row],[_Days]])*HoursPerDay*IF(Tasks[[#This Row],[_Units1]]="",DefaultUnits,Tasks[[#This Row],[_Units1]]))</f>
        <v>0</v>
      </c>
      <c r="EJ174" s="42" t="n">
        <f aca="false">Tasks[[#This Row],[_LeafWork]]+Tasks[[#This Row],[_Res2Work]]+Tasks[[#This Row],[_Res3Work]]+Tasks[[#This Row],[_Res4Work]]</f>
        <v>0</v>
      </c>
      <c r="EK1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4" s="42" t="n">
        <f aca="false">IF(NOT(Tasks[[#This Row],[_IsLeaf]]=1),0,MAX(_xlfn.MAXIFS(Tasks[_Row],Tasks[_Pred1UID],Tasks[[#This Row],[UID]]),_xlfn.MAXIFS(Tasks[_Row],Tasks[_Pred2UID],Tasks[[#This Row],[UID]]),_xlfn.MAXIFS(Tasks[_Row],Tasks[_Pred3UID],Tasks[[#This Row],[UID]]),_xlfn.MAXIFS(Tasks[_Row],Tasks[_Pred4UID],Tasks[[#This Row],[UID]])))</f>
        <v>0</v>
      </c>
      <c r="ET1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4" s="89" t="str">
        <f aca="false">IF(NOT(Tasks[[#This Row],[_IsLeaf]]=1),"",IF(N(Tasks[[#This Row],[_Days]])&lt;=0,Tasks[[#This Row],[_LeafLateFinish]],WORKDAY.INTL(Tasks[[#This Row],[_LeafLateFinish]],-(Tasks[[#This Row],[_Days]]-1),WorkWeek,Holidays)))</f>
        <v/>
      </c>
      <c r="EW1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4" s="88" t="b">
        <f aca="false">AND(Tasks[[#This Row],[_IsLeaf]]=1,Tasks[[#This Row],[_LeafProgress]]&lt;1,N(Tasks[[#This Row],[_LeafTotalSlack]])&lt;=CriticalSlackDays)</f>
        <v>0</v>
      </c>
      <c r="EY174" s="42" t="n">
        <f aca="false">IF(AND(Tasks[[#This Row],[_IsLeaf]]=1,Tasks[[#This Row],[_ConstraintCode]]=1,Tasks[[#This Row],[Mode]]&lt;&gt;"Manual",N(Tasks[[#This Row],[Actual Start]])=0),MAX(0,N(Tasks[[#This Row],[Free Slack]])),0)</f>
        <v>0</v>
      </c>
      <c r="EZ174" s="89" t="str">
        <f aca="false">IF(NOT(Tasks[[#This Row],[_IsLeaf]]=1),"",IF(Tasks[[#This Row],[_AlapShift]]=0,Tasks[[#This Row],[_LeafCalcStart]],WORKDAY.INTL(Tasks[[#This Row],[_LeafCalcStart]],Tasks[[#This Row],[_AlapShift]],WorkWeek,Holidays)))</f>
        <v/>
      </c>
      <c r="FA174" s="89" t="str">
        <f aca="false">IF(NOT(Tasks[[#This Row],[_IsLeaf]]=1),"",IF(Tasks[[#This Row],[_AlapShift]]=0,Tasks[[#This Row],[_LeafCalcFinish]],WORKDAY.INTL(Tasks[[#This Row],[_LeafCalcFinish]],Tasks[[#This Row],[_AlapShift]],WorkWeek,Holidays)))</f>
        <v/>
      </c>
      <c r="FB174" s="89" t="str">
        <f aca="false">IF(NOT(Tasks[[#This Row],[_IsLeaf]]=1),"",IF(Tasks[[#This Row],[_AlapShift]]=0,Tasks[[#This Row],[_LeafFcstStart]],WORKDAY.INTL(Tasks[[#This Row],[_LeafFcstStart]],Tasks[[#This Row],[_AlapShift]],WorkWeek,Holidays)))</f>
        <v/>
      </c>
      <c r="FC174" s="89" t="str">
        <f aca="false">IF(NOT(Tasks[[#This Row],[_IsLeaf]]=1),"",IF(Tasks[[#This Row],[_AlapShift]]=0,Tasks[[#This Row],[_LeafFcstFinish]],WORKDAY.INTL(Tasks[[#This Row],[_LeafFcstFinish]],Tasks[[#This Row],[_AlapShift]],WorkWeek,Holidays)))</f>
        <v/>
      </c>
      <c r="FD174" s="89" t="str">
        <f aca="false">IF(Tasks[[#This Row],[Task Name]]="","",IF(Tasks[[#This Row],[_IsSummary]],MIN(INDEX(Tasks[_ShownCalcStart],Tasks[[#This Row],[_Row]]+1):INDEX(Tasks[_ShownCalcStart],Tasks[[#This Row],[_Row]]+Tasks[[#This Row],[_Descendants]])),Tasks[[#This Row],[_ShownCalcStart]]))</f>
        <v/>
      </c>
      <c r="FE174" s="89" t="str">
        <f aca="false">IF(Tasks[[#This Row],[Task Name]]="","",IF(Tasks[[#This Row],[_IsSummary]],MAX(INDEX(Tasks[_ShownCalcFinish],Tasks[[#This Row],[_Row]]+1):INDEX(Tasks[_ShownCalcFinish],Tasks[[#This Row],[_Row]]+Tasks[[#This Row],[_Descendants]])),Tasks[[#This Row],[_ShownCalcFinish]]))</f>
        <v/>
      </c>
      <c r="FF1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4" s="42" t="n">
        <f aca="false">IF(AND(Tasks[[#This Row],[_IsLeaf]]=1,Tasks[[#This Row],[_LeafTotalWork]]&gt;0),NETWORKDAYS.INTL(ProjectStart,Tasks[[#This Row],[_ShownFcstStart]],WorkWeek,Holidays),0)</f>
        <v>0</v>
      </c>
      <c r="FS174" s="42" t="n">
        <f aca="false">IF(AND(Tasks[[#This Row],[_IsLeaf]]=1,Tasks[[#This Row],[_LeafTotalWork]]&gt;0),MAX(Tasks[[#This Row],[_StartWorkday]],NETWORKDAYS.INTL(ProjectStart,Tasks[[#This Row],[_ShownFcstFinish]],WorkWeek,Holidays)),0)</f>
        <v>0</v>
      </c>
      <c r="FT174" s="42" t="n">
        <f aca="false">IF(AND(Tasks[[#This Row],[_IsLeaf]]=1,Tasks[[#This Row],[_LeafTotalWork]]&gt;0),Tasks[[#This Row],[_LeafWork]]/(Tasks[[#This Row],[_FinishWorkday]]-Tasks[[#This Row],[_StartWorkday]]+1),0)</f>
        <v>0</v>
      </c>
      <c r="FU174" s="42" t="n">
        <f aca="false">Tasks[[#This Row],[_WorkPerWorkday]]*(Tasks[[#This Row],[_StartWorkday]]-1)</f>
        <v>-0</v>
      </c>
      <c r="FV174" s="42" t="n">
        <f aca="false">IF(Tasks[[#This Row],[_IsLeaf]]=1,MAX(N(Tasks[[#This Row],[_Days]]),0.1),0)</f>
        <v>0</v>
      </c>
      <c r="FW174" s="42" t="n">
        <f aca="false">Tasks[[#This Row],[_WeightDur]]*Tasks[[#This Row],[_LeafProgress]]</f>
        <v>0</v>
      </c>
      <c r="FX174" s="42" t="n">
        <f aca="false">Tasks[[#This Row],[_WeightDur]]*Tasks[[#This Row],[_PlannedPct]]</f>
        <v>0</v>
      </c>
      <c r="FY1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4" s="42" t="str">
        <f aca="false">IF(AND(Tasks[[#This Row],[_IsLeaf]]=1,N(Tasks[[#This Row],[_Days]])=0,Tasks[[#This Row],[_LeafProgress]]&lt;1),Tasks[[#This Row],[_ShownFcstFinish]]+Tasks[[#This Row],[_Row]]/100000,"")</f>
        <v/>
      </c>
      <c r="GA1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4" s="42" t="str">
        <f aca="false">IF(Tasks[[#This Row],[Task Name]]="","",LEFT(Tasks[[#This Row],[WBS]],FIND(".",Tasks[[#This Row],[WBS]]&amp;".")-1))</f>
        <v/>
      </c>
      <c r="GC174" s="42" t="str">
        <f aca="false">IF(AND(Tasks[[#This Row],[Task Name]]&lt;&gt;"",Tasks[[#This Row],[_Level]]=1),Tasks[[#This Row],[_Row]],"")</f>
        <v/>
      </c>
      <c r="GD174" s="42" t="str">
        <f aca="false">IF(AND(Tasks[[#This Row],[_IsLeaf]]=1,N(Tasks[[#This Row],[_Days]])=0),Tasks[[#This Row],[Planned Finish]]+Tasks[[#This Row],[_Row]]/100000,"")</f>
        <v/>
      </c>
      <c r="GE174" s="42" t="str">
        <f aca="false">IF(AND(Tasks[[#This Row],[_IsLeaf]]=1,Tasks[[#This Row],[_LeafProgress]]&lt;1,OR(N(Tasks[[#This Row],[Finish Var]])&gt;0,Tasks[[#This Row],[Status]]="Late Start")),MAX(0,Tasks[[#This Row],[Finish Var]])+1-Tasks[[#This Row],[_Row]]/1000000,"")</f>
        <v/>
      </c>
      <c r="GF174" s="42" t="str">
        <f aca="false">IF(AND(Tasks[[#This Row],[_IsLeaf]]=1,N(Tasks[[#This Row],[Actual Start]])=0,Tasks[[#This Row],[_ShownFcstStart]]&gt;=StatusDate,Tasks[[#This Row],[_ShownFcstStart]]&lt;=LookaheadEnd),Tasks[[#This Row],[_ShownFcstStart]]+Tasks[[#This Row],[_Row]]/100000,"")</f>
        <v/>
      </c>
      <c r="GG174" s="42" t="str">
        <f aca="false">IF(AND(Tasks[[#This Row],[_IsLeaf]]=1,Tasks[[#This Row],[_LeafProgress]]&lt;1,Tasks[[#This Row],[_ShownFcstFinish]]&gt;=StatusDate,Tasks[[#This Row],[_ShownFcstFinish]]&lt;=LookaheadEnd),Tasks[[#This Row],[_ShownFcstFinish]]+Tasks[[#This Row],[_Row]]/100000,"")</f>
        <v/>
      </c>
      <c r="GH174" s="42" t="str">
        <f aca="false">IF(Tasks[[#This Row],[_LeafCritical]],Tasks[[#This Row],[_ShownFcstStart]]+Tasks[[#This Row],[_Row]]/100000,"")</f>
        <v/>
      </c>
      <c r="GI174" s="42" t="n">
        <f aca="false">Tasks[[#This Row],[_LeafWork]]*Tasks[[#This Row],[_LeafProgress]]</f>
        <v>0</v>
      </c>
      <c r="GJ174" s="89" t="str">
        <f aca="false">IF(AND(Tasks[[#This Row],[_IsLeaf]]=1,Tasks[[#This Row],[_LeafProgress]]&gt;=1),IF(N(Tasks[[#This Row],[Actual Finish]])&gt;0,Tasks[[#This Row],[Actual Finish]],Tasks[[#This Row],[_ShownFcstFinish]]),"")</f>
        <v/>
      </c>
      <c r="GK174" s="42" t="n">
        <f aca="false">IF(Tasks[[#This Row],[_IsLeaf]]=1,N(Tasks[[#This Row],[Story Points]]),0)</f>
        <v>0</v>
      </c>
      <c r="GL174" s="42" t="str">
        <f aca="false">""</f>
        <v/>
      </c>
      <c r="GM174" s="88" t="b">
        <f aca="false">IF(Tasks[[#This Row],[Task Name]]="",FALSE(),AND(Tasks[[#This Row],[_IsLeaf]]=1,N(Tasks[[#This Row],[_Days]])=0))</f>
        <v>0</v>
      </c>
      <c r="GN174" s="89" t="n">
        <f aca="false">IF(Tasks[[#This Row],[Task Name]]="",0,IF(AND(Tasks[[#This Row],[_IsLeaf]]=1,NOT(Tasks[[#This Row],[_IsMilestone]]),N(Tasks[[#This Row],[Progress]])&gt;0),Tasks[[#This Row],[Start]],0))</f>
        <v>0</v>
      </c>
      <c r="GO174" s="89" t="n">
        <f aca="false">IF(Tasks[[#This Row],[_DoneFrom]]=0,0,IF(Tasks[[#This Row],[Progress]]&gt;=1,Tasks[[#This Row],[Finish]],MAX(Tasks[[#This Row],[_DoneFrom]],Tasks[[#This Row],[Start]]+ROUND((Tasks[[#This Row],[Finish]]-Tasks[[#This Row],[Start]]+1)*Tasks[[#This Row],[Progress]],0)-1)))</f>
        <v>0</v>
      </c>
      <c r="GP174" s="89" t="n">
        <f aca="false">IF(Tasks[[#This Row],[Task Name]]="",0,IF(OR(NOT(Tasks[[#This Row],[_IsLeaf]]=1),Tasks[[#This Row],[_IsMilestone]],N(Tasks[[#This Row],[Progress]])&gt;=1),0,IF(Tasks[[#This Row],[_DoneTo]]&gt;0,Tasks[[#This Row],[_DoneTo]]+1,Tasks[[#This Row],[Start]])))</f>
        <v>0</v>
      </c>
      <c r="GQ174" s="89" t="n">
        <f aca="false">IF(Tasks[[#This Row],[_RemFrom]]=0,0,Tasks[[#This Row],[Finish]])</f>
        <v>0</v>
      </c>
      <c r="GR174" s="88" t="b">
        <f aca="false">IF(Tasks[[#This Row],[Task Name]]="",FALSE(),OR(NOT(BaselineSet),N(Tasks[[#This Row],[Baseline Start]])&gt;0))</f>
        <v>0</v>
      </c>
      <c r="GS1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4" s="90" t="str">
        <f aca="false">IF(Tasks[[#This Row],[_IsLeaf]]=1,Tasks[[#This Row],[_Row]],"")</f>
        <v/>
      </c>
      <c r="GW174" s="90" t="str">
        <f aca="false">IFERROR(INDEX(Tasks[UID],SMALL(Tasks[_PickKey],Tasks[[#This Row],[_Row]]))&amp;" "&amp;INDEX(Tasks[Task Name],SMALL(Tasks[_PickKey],Tasks[[#This Row],[_Row]])),"")</f>
        <v/>
      </c>
      <c r="GX174" s="42" t="str">
        <f aca="false">IF(Tasks[[#This Row],[Task Name]]="","",IF(Tasks[[#This Row],[_IsSummary]],NETWORKDAYS.INTL(Tasks[[#This Row],[Start]],Tasks[[#This Row],[Finish]],WorkWeek,Holidays),N(Tasks[[#This Row],[_Days]])))</f>
        <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3"/>
      <c r="U175" s="23"/>
      <c r="V175" s="83"/>
      <c r="W175" s="23"/>
      <c r="X175" s="83"/>
      <c r="Y175" s="23"/>
      <c r="Z175" s="83"/>
      <c r="AA175" s="23"/>
      <c r="AB175" s="23"/>
      <c r="AC175" s="7"/>
      <c r="AD175" s="7"/>
      <c r="AE175" s="62" t="str">
        <f aca="false">IF(Tasks[[#This Row],[Task Name]]="","",IF(Tasks[[#This Row],[_IsSummary]],MIN(INDEX(Tasks[_ShownFcstStart],Tasks[[#This Row],[_Row]]+1):INDEX(Tasks[_ShownFcstStart],Tasks[[#This Row],[_Row]]+Tasks[[#This Row],[_Descendants]])),Tasks[[#This Row],[_ShownFcstStart]]))</f>
        <v/>
      </c>
      <c r="AF175" s="62"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5" s="7"/>
      <c r="AK175" s="22"/>
      <c r="AL175" s="23"/>
      <c r="AM175" s="7"/>
      <c r="AN175" s="46"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2" t="str">
        <f aca="false">IF(Tasks[[#This Row],[Task Name]]="","",IF(N(Tasks[[#This Row],[Baseline Start]])&gt;0,Tasks[[#This Row],[Baseline Start]],Tasks[[#This Row],[_CalcStart]]))</f>
        <v/>
      </c>
      <c r="AR175" s="62" t="str">
        <f aca="false">IF(Tasks[[#This Row],[Task Name]]="","",IF(N(Tasks[[#This Row],[Baseline Finish]])&gt;0,Tasks[[#This Row],[Baseline Finish]],Tasks[[#This Row],[_CalcFinish]]))</f>
        <v/>
      </c>
      <c r="AS175" s="46" t="str">
        <f aca="false">IF(Tasks[[#This Row],[Task Name]]="","",IF(Tasks[[#This Row],[Start]]&gt;=Tasks[[#This Row],[Planned Start]],NETWORKDAYS.INTL(Tasks[[#This Row],[Planned Start]],Tasks[[#This Row],[Start]],WorkWeek,Holidays)-1,1-NETWORKDAYS.INTL(Tasks[[#This Row],[Start]],Tasks[[#This Row],[Planned Start]],WorkWeek,Holidays)))</f>
        <v/>
      </c>
      <c r="AT175" s="62" t="str">
        <f aca="false">IF(Tasks[[#This Row],[Task Name]]="","",IF(Tasks[[#This Row],[_IsSummary]],MIN(INDEX(Tasks[_LeafLateStart],Tasks[[#This Row],[_Row]]+1):INDEX(Tasks[_LeafLateStart],Tasks[[#This Row],[_Row]]+Tasks[[#This Row],[_Descendants]])),Tasks[[#This Row],[_LeafLateStart]]))</f>
        <v/>
      </c>
      <c r="AU175" s="62" t="str">
        <f aca="false">IF(Tasks[[#This Row],[Task Name]]="","",IF(Tasks[[#This Row],[_IsSummary]],MAX(INDEX(Tasks[_LeafLateFinish],Tasks[[#This Row],[_Row]]+1):INDEX(Tasks[_LeafLateFinish],Tasks[[#This Row],[_Row]]+Tasks[[#This Row],[_Descendants]])),Tasks[[#This Row],[_LeafLateFinish]]))</f>
        <v/>
      </c>
      <c r="AV175" s="46"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4"/>
      <c r="BA1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5"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6"/>
      <c r="BJ175" s="22"/>
      <c r="BK175" s="46" t="str">
        <f aca="false">IF(OR(Tasks[[#This Row],[Task Name]]="",Tasks[[#This Row],[Baseline Duration]]=""),"",Tasks[[#This Row],[_SpanDays]]-N(Tasks[[#This Row],[Baseline Duration]]))</f>
        <v/>
      </c>
      <c r="BL175" s="85" t="str">
        <f aca="false">IF(OR(Tasks[[#This Row],[Task Name]]="",Tasks[[#This Row],[Baseline Work]]=""),"",Tasks[[#This Row],[Work]]-N(Tasks[[#This Row],[Baseline Work]]))</f>
        <v/>
      </c>
      <c r="BM175" s="62" t="str">
        <f aca="false">IF(Tasks[[#This Row],[Task Name]]="","",IF(OR(TakeBaseline="Yes",N(Tasks[[#This Row],[Baseline Start]])=0),Tasks[[#This Row],[Start]],Tasks[[#This Row],[Baseline Start]]))</f>
        <v/>
      </c>
      <c r="BN175" s="62"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5" t="str">
        <f aca="false">IF(Tasks[[#This Row],[Task Name]]="","",IF(OR(TakeBaseline="Yes",N(Tasks[[#This Row],[Baseline Work]])=0),Tasks[[#This Row],[Work]],Tasks[[#This Row],[Baseline Work]]))</f>
        <v/>
      </c>
      <c r="BQ175" s="7"/>
      <c r="BR175" s="7"/>
      <c r="BS175" s="22"/>
      <c r="BT175" s="87"/>
      <c r="BU175" s="42" t="str">
        <f aca="false">IF(Tasks[[#This Row],[Task Name]]="","",MAX(1,N(Tasks[[#This Row],[Level]])))</f>
        <v/>
      </c>
      <c r="BV175" s="42" t="n">
        <f aca="false">ROW()-ROW(Tasks[[#Headers],[ID]])</f>
        <v>170</v>
      </c>
      <c r="BW175" s="42" t="n">
        <f aca="false">IF(OR(Tasks[[#This Row],[Task Name]]="",Tasks[[#This Row],[_Level]]&lt;=1),0,IFERROR(LOOKUP(2,1/(Tasks[[#Headers],[_Level]]:Tasks[[#This Row],[_Level]]=Tasks[[#This Row],[_Level]]-1),ROW(Tasks[[#Headers],[_Level]]:Tasks[[#This Row],[_Level]])),0))</f>
        <v>0</v>
      </c>
      <c r="BX175" s="42" t="n">
        <f aca="false">IFERROR(N(INDEX(Tasks[_Level],Tasks[[#This Row],[_Row]]+1)),0)</f>
        <v>0</v>
      </c>
      <c r="BY175" s="88" t="b">
        <f aca="false">AND(Tasks[[#This Row],[Task Name]]&lt;&gt;"",Tasks[[#This Row],[_NextLevel]]&gt;Tasks[[#This Row],[_Level]])</f>
        <v>0</v>
      </c>
      <c r="BZ175" s="42" t="n">
        <f aca="false">IF(Tasks[[#This Row],[_IsSummary]],COUNTIF(Tasks[WBS],Tasks[[#This Row],[WBS]]&amp;".*"),0)</f>
        <v>0</v>
      </c>
      <c r="CA175" s="42" t="n">
        <f aca="false">IF(AND(Tasks[[#This Row],[Task Name]]&lt;&gt;"",NOT(Tasks[[#This Row],[_IsSummary]])),1,0)</f>
        <v>0</v>
      </c>
      <c r="CB175" s="42" t="n">
        <f aca="false">IF(N(Tasks[[#This Row],[_Pred1UID]])=0,0,IFERROR(MATCH(Tasks[[#This Row],[_Pred1UID]],Tasks[UID],0),-1))</f>
        <v>0</v>
      </c>
      <c r="CC175" s="42" t="n">
        <f aca="false">IF(N(Tasks[[#This Row],[_Pred2UID]])=0,0,IFERROR(MATCH(Tasks[[#This Row],[_Pred2UID]],Tasks[UID],0),-1))</f>
        <v>0</v>
      </c>
      <c r="CD175" s="42" t="n">
        <f aca="false">IF(N(Tasks[[#This Row],[_Pred3UID]])=0,0,IFERROR(MATCH(Tasks[[#This Row],[_Pred3UID]],Tasks[UID],0),-1))</f>
        <v>0</v>
      </c>
      <c r="CE175" s="42" t="n">
        <f aca="false">IF(N(Tasks[[#This Row],[_Pred4UID]])=0,0,IFERROR(MATCH(Tasks[[#This Row],[_Pred4UID]],Tasks[UID],0),-1))</f>
        <v>0</v>
      </c>
      <c r="CF1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5" s="89" t="n">
        <f aca="false">IF(OR(Tasks[[#This Row],[_ConstraintCode]]=2,Tasks[[#This Row],[_ConstraintCode]]=3,Tasks[[#This Row],[_ConstraintCode]]=4,Tasks[[#This Row],[_ConstraintCode]]=6),Tasks[[#This Row],[_ConstraintStart]],0)</f>
        <v>0</v>
      </c>
      <c r="CI175" s="89" t="n">
        <f aca="false">IF(OR(Tasks[[#This Row],[_ConstraintCode]]=2,Tasks[[#This Row],[_ConstraintCode]]=3,Tasks[[#This Row],[_ConstraintCode]]=5,Tasks[[#This Row],[_ConstraintCode]]=7),Tasks[[#This Row],[_ConstraintStart]],2958465)</f>
        <v>2958465</v>
      </c>
      <c r="CJ1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5" s="89" t="str">
        <f aca="false">IF(NOT(Tasks[[#This Row],[_IsLeaf]]=1),"",IF(N(Tasks[[#This Row],[_Days]])&lt;=0,Tasks[[#This Row],[_LeafCalcStart]],WORKDAY.INTL(Tasks[[#This Row],[_LeafCalcStart]],Tasks[[#This Row],[_Days]]-1,WorkWeek,Holidays)))</f>
        <v/>
      </c>
      <c r="CL1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5" s="42" t="str">
        <f aca="false">IF(Tasks[[#This Row],[_Predecessors]]="","",TRIM(MID(SUBSTITUTE(SUBSTITUTE(SUBSTITUTE(UPPER(Tasks[[#This Row],[_Predecessors]]),";",",")," ",""),",",REPT(" ",99)),1,99)))</f>
        <v/>
      </c>
      <c r="CO175" s="42" t="str">
        <f aca="false">IF(Tasks[[#This Row],[_Pred1Text]]="","",IFERROR(VALUE(LEFT(Tasks[[#This Row],[_Pred1Text]],MIN(FIND("F",Tasks[[#This Row],[_Pred1Text]]&amp;"F"),FIND("S",Tasks[[#This Row],[_Pred1Text]]&amp;"S"),FIND("+",Tasks[[#This Row],[_Pred1Text]]&amp;"+"),FIND("-",Tasks[[#This Row],[_Pred1Text]]&amp;"-"))-1)),""))</f>
        <v/>
      </c>
      <c r="CP1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5" s="42" t="str">
        <f aca="false">IF(Tasks[[#This Row],[_Pred1Text]]="","",TRIM(MID(SUBSTITUTE(SUBSTITUTE(SUBSTITUTE(UPPER(Tasks[[#This Row],[_Predecessors]]),";",",")," ",""),",",REPT(" ",99)),100,99)))</f>
        <v/>
      </c>
      <c r="CS175" s="42" t="str">
        <f aca="false">IF(Tasks[[#This Row],[_Pred2Text]]="","",IFERROR(VALUE(LEFT(Tasks[[#This Row],[_Pred2Text]],MIN(FIND("F",Tasks[[#This Row],[_Pred2Text]]&amp;"F"),FIND("S",Tasks[[#This Row],[_Pred2Text]]&amp;"S"),FIND("+",Tasks[[#This Row],[_Pred2Text]]&amp;"+"),FIND("-",Tasks[[#This Row],[_Pred2Text]]&amp;"-"))-1)),""))</f>
        <v/>
      </c>
      <c r="CT1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5" s="42" t="str">
        <f aca="false">IF(Tasks[[#This Row],[_Pred2Text]]="","",TRIM(MID(SUBSTITUTE(SUBSTITUTE(SUBSTITUTE(UPPER(Tasks[[#This Row],[_Predecessors]]),";",",")," ",""),",",REPT(" ",99)),199,99)))</f>
        <v/>
      </c>
      <c r="CW175" s="42" t="str">
        <f aca="false">IF(Tasks[[#This Row],[_Pred3Text]]="","",IFERROR(VALUE(LEFT(Tasks[[#This Row],[_Pred3Text]],MIN(FIND("F",Tasks[[#This Row],[_Pred3Text]]&amp;"F"),FIND("S",Tasks[[#This Row],[_Pred3Text]]&amp;"S"),FIND("+",Tasks[[#This Row],[_Pred3Text]]&amp;"+"),FIND("-",Tasks[[#This Row],[_Pred3Text]]&amp;"-"))-1)),""))</f>
        <v/>
      </c>
      <c r="CX1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5" s="42" t="str">
        <f aca="false">IF(Tasks[[#This Row],[_Pred3Text]]="","",TRIM(MID(SUBSTITUTE(SUBSTITUTE(SUBSTITUTE(UPPER(Tasks[[#This Row],[_Predecessors]]),";",",")," ",""),",",REPT(" ",99)),298,99)))</f>
        <v/>
      </c>
      <c r="DA175" s="42" t="str">
        <f aca="false">IF(Tasks[[#This Row],[_Pred4Text]]="","",IFERROR(VALUE(LEFT(Tasks[[#This Row],[_Pred4Text]],MIN(FIND("F",Tasks[[#This Row],[_Pred4Text]]&amp;"F"),FIND("S",Tasks[[#This Row],[_Pred4Text]]&amp;"S"),FIND("+",Tasks[[#This Row],[_Pred4Text]]&amp;"+"),FIND("-",Tasks[[#This Row],[_Pred4Text]]&amp;"-"))-1)),""))</f>
        <v/>
      </c>
      <c r="DB1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5" s="42" t="str">
        <f aca="false">IF(OR(Tasks[[#This Row],[Task Name]]="",Tasks[[#This Row],[_Resources]]=""),"",TRIM(MID(SUBSTITUTE(Tasks[[#This Row],[_Resources]],",",REPT(" ",99)),1,99)))</f>
        <v/>
      </c>
      <c r="DE175" s="42" t="str">
        <f aca="false">IF(Tasks[[#This Row],[_Res1Text]]="","",TRIM(MID(SUBSTITUTE(Tasks[[#This Row],[_Resources]],",",REPT(" ",99)),100,99)))</f>
        <v/>
      </c>
      <c r="DF175" s="42" t="str">
        <f aca="false">IF(Tasks[[#This Row],[_Res2Text]]="","",TRIM(MID(SUBSTITUTE(Tasks[[#This Row],[_Resources]],",",REPT(" ",99)),199,99)))</f>
        <v/>
      </c>
      <c r="DG175" s="42" t="str">
        <f aca="false">IF(Tasks[[#This Row],[_Res3Text]]="","",TRIM(MID(SUBSTITUTE(Tasks[[#This Row],[_Resources]],",",REPT(" ",99)),298,99)))</f>
        <v/>
      </c>
      <c r="DH175" s="42" t="n">
        <f aca="false">IF(Tasks[[#This Row],[_Res1Text]]="",0,IFERROR(MATCH(TRIM(LEFT(Tasks[[#This Row],[_Res1Text]],FIND("[",Tasks[[#This Row],[_Res1Text]]&amp;"[")-1)),res_Name,0),IFERROR(MATCH(TRIM(LEFT(Tasks[[#This Row],[_Res1Text]],FIND("[",Tasks[[#This Row],[_Res1Text]]&amp;"[")-1)),res_Initials,0),0)))</f>
        <v>0</v>
      </c>
      <c r="DI175" s="42" t="n">
        <f aca="false">IF(Tasks[[#This Row],[_Res2Text]]="",0,IFERROR(MATCH(TRIM(LEFT(Tasks[[#This Row],[_Res2Text]],FIND("[",Tasks[[#This Row],[_Res2Text]]&amp;"[")-1)),res_Name,0),IFERROR(MATCH(TRIM(LEFT(Tasks[[#This Row],[_Res2Text]],FIND("[",Tasks[[#This Row],[_Res2Text]]&amp;"[")-1)),res_Initials,0),0)))</f>
        <v>0</v>
      </c>
      <c r="DJ175" s="42" t="n">
        <f aca="false">IF(Tasks[[#This Row],[_Res3Text]]="",0,IFERROR(MATCH(TRIM(LEFT(Tasks[[#This Row],[_Res3Text]],FIND("[",Tasks[[#This Row],[_Res3Text]]&amp;"[")-1)),res_Name,0),IFERROR(MATCH(TRIM(LEFT(Tasks[[#This Row],[_Res3Text]],FIND("[",Tasks[[#This Row],[_Res3Text]]&amp;"[")-1)),res_Initials,0),0)))</f>
        <v>0</v>
      </c>
      <c r="DK175" s="42" t="n">
        <f aca="false">IF(Tasks[[#This Row],[_Res4Text]]="",0,IFERROR(MATCH(TRIM(LEFT(Tasks[[#This Row],[_Res4Text]],FIND("[",Tasks[[#This Row],[_Res4Text]]&amp;"[")-1)),res_Name,0),IFERROR(MATCH(TRIM(LEFT(Tasks[[#This Row],[_Res4Text]],FIND("[",Tasks[[#This Row],[_Res4Text]]&amp;"[")-1)),res_Initials,0),0)))</f>
        <v>0</v>
      </c>
      <c r="DL175" s="42" t="str">
        <f aca="false">IF(Tasks[[#This Row],[_Res1Text]]="","",IF(Tasks[[#This Row],[_Res1Row]]&gt;0,INDEX(res_Name,Tasks[[#This Row],[_Res1Row]]),TRIM(LEFT(Tasks[[#This Row],[_Res1Text]],FIND("[",Tasks[[#This Row],[_Res1Text]]&amp;"[")-1))))</f>
        <v/>
      </c>
      <c r="DM1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5" s="42" t="n">
        <f aca="false">IF(NOT(Tasks[[#This Row],[_IsLeaf]]=1),0,(Tasks[[#This Row],[_Resource1]]&lt;&gt;"")+(Tasks[[#This Row],[_Res2]]&lt;&gt;"")+(Tasks[[#This Row],[_Res3]]&lt;&gt;"")+(Tasks[[#This Row],[_Res4]]&lt;&gt;""))</f>
        <v>0</v>
      </c>
      <c r="DO175" s="42" t="str">
        <f aca="false">IF(Tasks[[#This Row],[_Res2Text]]="","",IF(Tasks[[#This Row],[_Res2Row]]&gt;0,INDEX(res_Name,Tasks[[#This Row],[_Res2Row]]),TRIM(LEFT(Tasks[[#This Row],[_Res2Text]],FIND("[",Tasks[[#This Row],[_Res2Text]]&amp;"[")-1))))</f>
        <v/>
      </c>
      <c r="DP1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5" s="42" t="n">
        <f aca="false">IF(OR(NOT(Tasks[[#This Row],[_IsLeaf]]=1),Tasks[[#This Row],[_Res2Row]]=0),0,N(Tasks[[#This Row],[_Days]])*HoursPerDay*IF(Tasks[[#This Row],[_Res2Units]]="",DefaultUnits,Tasks[[#This Row],[_Res2Units]]))</f>
        <v>0</v>
      </c>
      <c r="DR175" s="42" t="n">
        <f aca="false">IF(AND(AND(Tasks[[#This Row],[_IsLeaf]]=1,Tasks[[#This Row],[_LeafTotalWork]]&gt;0),Tasks[[#This Row],[_Res2Work]]&gt;0),Tasks[[#This Row],[_Res2Work]]/(Tasks[[#This Row],[_FinishWorkday]]-Tasks[[#This Row],[_StartWorkday]]+1),0)</f>
        <v>0</v>
      </c>
      <c r="DS175" s="42" t="n">
        <f aca="false">Tasks[[#This Row],[_Res2WorkPerWD]]*MAX(0,Tasks[[#This Row],[_StartWorkday]]-1)</f>
        <v>0</v>
      </c>
      <c r="DT175" s="42" t="n">
        <f aca="false">Tasks[[#This Row],[_Res2Work]]*Tasks[[#This Row],[_LeafProgress]]</f>
        <v>0</v>
      </c>
      <c r="DU175" s="42" t="str">
        <f aca="false">IF(Tasks[[#This Row],[_Res3Text]]="","",IF(Tasks[[#This Row],[_Res3Row]]&gt;0,INDEX(res_Name,Tasks[[#This Row],[_Res3Row]]),TRIM(LEFT(Tasks[[#This Row],[_Res3Text]],FIND("[",Tasks[[#This Row],[_Res3Text]]&amp;"[")-1))))</f>
        <v/>
      </c>
      <c r="DV1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5" s="42" t="n">
        <f aca="false">IF(OR(NOT(Tasks[[#This Row],[_IsLeaf]]=1),Tasks[[#This Row],[_Res3Row]]=0),0,N(Tasks[[#This Row],[_Days]])*HoursPerDay*IF(Tasks[[#This Row],[_Res3Units]]="",DefaultUnits,Tasks[[#This Row],[_Res3Units]]))</f>
        <v>0</v>
      </c>
      <c r="DX175" s="42" t="n">
        <f aca="false">IF(AND(AND(Tasks[[#This Row],[_IsLeaf]]=1,Tasks[[#This Row],[_LeafTotalWork]]&gt;0),Tasks[[#This Row],[_Res3Work]]&gt;0),Tasks[[#This Row],[_Res3Work]]/(Tasks[[#This Row],[_FinishWorkday]]-Tasks[[#This Row],[_StartWorkday]]+1),0)</f>
        <v>0</v>
      </c>
      <c r="DY175" s="42" t="n">
        <f aca="false">Tasks[[#This Row],[_Res3WorkPerWD]]*MAX(0,Tasks[[#This Row],[_StartWorkday]]-1)</f>
        <v>0</v>
      </c>
      <c r="DZ175" s="42" t="n">
        <f aca="false">Tasks[[#This Row],[_Res3Work]]*Tasks[[#This Row],[_LeafProgress]]</f>
        <v>0</v>
      </c>
      <c r="EA175" s="42" t="str">
        <f aca="false">IF(Tasks[[#This Row],[_Res4Text]]="","",IF(Tasks[[#This Row],[_Res4Row]]&gt;0,INDEX(res_Name,Tasks[[#This Row],[_Res4Row]]),TRIM(LEFT(Tasks[[#This Row],[_Res4Text]],FIND("[",Tasks[[#This Row],[_Res4Text]]&amp;"[")-1))))</f>
        <v/>
      </c>
      <c r="EB1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5" s="42" t="n">
        <f aca="false">IF(OR(NOT(Tasks[[#This Row],[_IsLeaf]]=1),Tasks[[#This Row],[_Res4Row]]=0),0,N(Tasks[[#This Row],[_Days]])*HoursPerDay*IF(Tasks[[#This Row],[_Res4Units]]="",DefaultUnits,Tasks[[#This Row],[_Res4Units]]))</f>
        <v>0</v>
      </c>
      <c r="ED175" s="42" t="n">
        <f aca="false">IF(AND(AND(Tasks[[#This Row],[_IsLeaf]]=1,Tasks[[#This Row],[_LeafTotalWork]]&gt;0),Tasks[[#This Row],[_Res4Work]]&gt;0),Tasks[[#This Row],[_Res4Work]]/(Tasks[[#This Row],[_FinishWorkday]]-Tasks[[#This Row],[_StartWorkday]]+1),0)</f>
        <v>0</v>
      </c>
      <c r="EE175" s="42" t="n">
        <f aca="false">Tasks[[#This Row],[_Res4WorkPerWD]]*MAX(0,Tasks[[#This Row],[_StartWorkday]]-1)</f>
        <v>0</v>
      </c>
      <c r="EF175" s="42" t="n">
        <f aca="false">Tasks[[#This Row],[_Res4Work]]*Tasks[[#This Row],[_LeafProgress]]</f>
        <v>0</v>
      </c>
      <c r="EG175" s="42" t="n">
        <f aca="false">IF(ISNUMBER(Tasks[[#This Row],[% Complete]]),Tasks[[#This Row],[% Complete]],IF(Tasks[[#This Row],[Stage]]="",0,IFERROR(INDEX(stg_Pct,MATCH(Tasks[[#This Row],[Stage]],stg_Name,0)),0)))</f>
        <v>0</v>
      </c>
      <c r="EH175" s="42" t="n">
        <f aca="false">IF(NOT(Tasks[[#This Row],[_IsLeaf]]=1),0,IF(N(Tasks[[#This Row],[Actual Finish]])&gt;0,1,MIN(1,Tasks[[#This Row],[_Pct]])))</f>
        <v>0</v>
      </c>
      <c r="EI175" s="42" t="n">
        <f aca="false">IF(OR(NOT(Tasks[[#This Row],[_IsLeaf]]=1),Tasks[[#This Row],[_Res1Row]]=0),0,N(Tasks[[#This Row],[_Days]])*HoursPerDay*IF(Tasks[[#This Row],[_Units1]]="",DefaultUnits,Tasks[[#This Row],[_Units1]]))</f>
        <v>0</v>
      </c>
      <c r="EJ175" s="42" t="n">
        <f aca="false">Tasks[[#This Row],[_LeafWork]]+Tasks[[#This Row],[_Res2Work]]+Tasks[[#This Row],[_Res3Work]]+Tasks[[#This Row],[_Res4Work]]</f>
        <v>0</v>
      </c>
      <c r="EK1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5" s="42" t="n">
        <f aca="false">IF(NOT(Tasks[[#This Row],[_IsLeaf]]=1),0,MAX(_xlfn.MAXIFS(Tasks[_Row],Tasks[_Pred1UID],Tasks[[#This Row],[UID]]),_xlfn.MAXIFS(Tasks[_Row],Tasks[_Pred2UID],Tasks[[#This Row],[UID]]),_xlfn.MAXIFS(Tasks[_Row],Tasks[_Pred3UID],Tasks[[#This Row],[UID]]),_xlfn.MAXIFS(Tasks[_Row],Tasks[_Pred4UID],Tasks[[#This Row],[UID]])))</f>
        <v>0</v>
      </c>
      <c r="ET1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5" s="89" t="str">
        <f aca="false">IF(NOT(Tasks[[#This Row],[_IsLeaf]]=1),"",IF(N(Tasks[[#This Row],[_Days]])&lt;=0,Tasks[[#This Row],[_LeafLateFinish]],WORKDAY.INTL(Tasks[[#This Row],[_LeafLateFinish]],-(Tasks[[#This Row],[_Days]]-1),WorkWeek,Holidays)))</f>
        <v/>
      </c>
      <c r="EW1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5" s="88" t="b">
        <f aca="false">AND(Tasks[[#This Row],[_IsLeaf]]=1,Tasks[[#This Row],[_LeafProgress]]&lt;1,N(Tasks[[#This Row],[_LeafTotalSlack]])&lt;=CriticalSlackDays)</f>
        <v>0</v>
      </c>
      <c r="EY175" s="42" t="n">
        <f aca="false">IF(AND(Tasks[[#This Row],[_IsLeaf]]=1,Tasks[[#This Row],[_ConstraintCode]]=1,Tasks[[#This Row],[Mode]]&lt;&gt;"Manual",N(Tasks[[#This Row],[Actual Start]])=0),MAX(0,N(Tasks[[#This Row],[Free Slack]])),0)</f>
        <v>0</v>
      </c>
      <c r="EZ175" s="89" t="str">
        <f aca="false">IF(NOT(Tasks[[#This Row],[_IsLeaf]]=1),"",IF(Tasks[[#This Row],[_AlapShift]]=0,Tasks[[#This Row],[_LeafCalcStart]],WORKDAY.INTL(Tasks[[#This Row],[_LeafCalcStart]],Tasks[[#This Row],[_AlapShift]],WorkWeek,Holidays)))</f>
        <v/>
      </c>
      <c r="FA175" s="89" t="str">
        <f aca="false">IF(NOT(Tasks[[#This Row],[_IsLeaf]]=1),"",IF(Tasks[[#This Row],[_AlapShift]]=0,Tasks[[#This Row],[_LeafCalcFinish]],WORKDAY.INTL(Tasks[[#This Row],[_LeafCalcFinish]],Tasks[[#This Row],[_AlapShift]],WorkWeek,Holidays)))</f>
        <v/>
      </c>
      <c r="FB175" s="89" t="str">
        <f aca="false">IF(NOT(Tasks[[#This Row],[_IsLeaf]]=1),"",IF(Tasks[[#This Row],[_AlapShift]]=0,Tasks[[#This Row],[_LeafFcstStart]],WORKDAY.INTL(Tasks[[#This Row],[_LeafFcstStart]],Tasks[[#This Row],[_AlapShift]],WorkWeek,Holidays)))</f>
        <v/>
      </c>
      <c r="FC175" s="89" t="str">
        <f aca="false">IF(NOT(Tasks[[#This Row],[_IsLeaf]]=1),"",IF(Tasks[[#This Row],[_AlapShift]]=0,Tasks[[#This Row],[_LeafFcstFinish]],WORKDAY.INTL(Tasks[[#This Row],[_LeafFcstFinish]],Tasks[[#This Row],[_AlapShift]],WorkWeek,Holidays)))</f>
        <v/>
      </c>
      <c r="FD175" s="89" t="str">
        <f aca="false">IF(Tasks[[#This Row],[Task Name]]="","",IF(Tasks[[#This Row],[_IsSummary]],MIN(INDEX(Tasks[_ShownCalcStart],Tasks[[#This Row],[_Row]]+1):INDEX(Tasks[_ShownCalcStart],Tasks[[#This Row],[_Row]]+Tasks[[#This Row],[_Descendants]])),Tasks[[#This Row],[_ShownCalcStart]]))</f>
        <v/>
      </c>
      <c r="FE175" s="89" t="str">
        <f aca="false">IF(Tasks[[#This Row],[Task Name]]="","",IF(Tasks[[#This Row],[_IsSummary]],MAX(INDEX(Tasks[_ShownCalcFinish],Tasks[[#This Row],[_Row]]+1):INDEX(Tasks[_ShownCalcFinish],Tasks[[#This Row],[_Row]]+Tasks[[#This Row],[_Descendants]])),Tasks[[#This Row],[_ShownCalcFinish]]))</f>
        <v/>
      </c>
      <c r="FF1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5" s="42" t="n">
        <f aca="false">IF(AND(Tasks[[#This Row],[_IsLeaf]]=1,Tasks[[#This Row],[_LeafTotalWork]]&gt;0),NETWORKDAYS.INTL(ProjectStart,Tasks[[#This Row],[_ShownFcstStart]],WorkWeek,Holidays),0)</f>
        <v>0</v>
      </c>
      <c r="FS175" s="42" t="n">
        <f aca="false">IF(AND(Tasks[[#This Row],[_IsLeaf]]=1,Tasks[[#This Row],[_LeafTotalWork]]&gt;0),MAX(Tasks[[#This Row],[_StartWorkday]],NETWORKDAYS.INTL(ProjectStart,Tasks[[#This Row],[_ShownFcstFinish]],WorkWeek,Holidays)),0)</f>
        <v>0</v>
      </c>
      <c r="FT175" s="42" t="n">
        <f aca="false">IF(AND(Tasks[[#This Row],[_IsLeaf]]=1,Tasks[[#This Row],[_LeafTotalWork]]&gt;0),Tasks[[#This Row],[_LeafWork]]/(Tasks[[#This Row],[_FinishWorkday]]-Tasks[[#This Row],[_StartWorkday]]+1),0)</f>
        <v>0</v>
      </c>
      <c r="FU175" s="42" t="n">
        <f aca="false">Tasks[[#This Row],[_WorkPerWorkday]]*(Tasks[[#This Row],[_StartWorkday]]-1)</f>
        <v>-0</v>
      </c>
      <c r="FV175" s="42" t="n">
        <f aca="false">IF(Tasks[[#This Row],[_IsLeaf]]=1,MAX(N(Tasks[[#This Row],[_Days]]),0.1),0)</f>
        <v>0</v>
      </c>
      <c r="FW175" s="42" t="n">
        <f aca="false">Tasks[[#This Row],[_WeightDur]]*Tasks[[#This Row],[_LeafProgress]]</f>
        <v>0</v>
      </c>
      <c r="FX175" s="42" t="n">
        <f aca="false">Tasks[[#This Row],[_WeightDur]]*Tasks[[#This Row],[_PlannedPct]]</f>
        <v>0</v>
      </c>
      <c r="FY1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5" s="42" t="str">
        <f aca="false">IF(AND(Tasks[[#This Row],[_IsLeaf]]=1,N(Tasks[[#This Row],[_Days]])=0,Tasks[[#This Row],[_LeafProgress]]&lt;1),Tasks[[#This Row],[_ShownFcstFinish]]+Tasks[[#This Row],[_Row]]/100000,"")</f>
        <v/>
      </c>
      <c r="GA1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5" s="42" t="str">
        <f aca="false">IF(Tasks[[#This Row],[Task Name]]="","",LEFT(Tasks[[#This Row],[WBS]],FIND(".",Tasks[[#This Row],[WBS]]&amp;".")-1))</f>
        <v/>
      </c>
      <c r="GC175" s="42" t="str">
        <f aca="false">IF(AND(Tasks[[#This Row],[Task Name]]&lt;&gt;"",Tasks[[#This Row],[_Level]]=1),Tasks[[#This Row],[_Row]],"")</f>
        <v/>
      </c>
      <c r="GD175" s="42" t="str">
        <f aca="false">IF(AND(Tasks[[#This Row],[_IsLeaf]]=1,N(Tasks[[#This Row],[_Days]])=0),Tasks[[#This Row],[Planned Finish]]+Tasks[[#This Row],[_Row]]/100000,"")</f>
        <v/>
      </c>
      <c r="GE175" s="42" t="str">
        <f aca="false">IF(AND(Tasks[[#This Row],[_IsLeaf]]=1,Tasks[[#This Row],[_LeafProgress]]&lt;1,OR(N(Tasks[[#This Row],[Finish Var]])&gt;0,Tasks[[#This Row],[Status]]="Late Start")),MAX(0,Tasks[[#This Row],[Finish Var]])+1-Tasks[[#This Row],[_Row]]/1000000,"")</f>
        <v/>
      </c>
      <c r="GF175" s="42" t="str">
        <f aca="false">IF(AND(Tasks[[#This Row],[_IsLeaf]]=1,N(Tasks[[#This Row],[Actual Start]])=0,Tasks[[#This Row],[_ShownFcstStart]]&gt;=StatusDate,Tasks[[#This Row],[_ShownFcstStart]]&lt;=LookaheadEnd),Tasks[[#This Row],[_ShownFcstStart]]+Tasks[[#This Row],[_Row]]/100000,"")</f>
        <v/>
      </c>
      <c r="GG175" s="42" t="str">
        <f aca="false">IF(AND(Tasks[[#This Row],[_IsLeaf]]=1,Tasks[[#This Row],[_LeafProgress]]&lt;1,Tasks[[#This Row],[_ShownFcstFinish]]&gt;=StatusDate,Tasks[[#This Row],[_ShownFcstFinish]]&lt;=LookaheadEnd),Tasks[[#This Row],[_ShownFcstFinish]]+Tasks[[#This Row],[_Row]]/100000,"")</f>
        <v/>
      </c>
      <c r="GH175" s="42" t="str">
        <f aca="false">IF(Tasks[[#This Row],[_LeafCritical]],Tasks[[#This Row],[_ShownFcstStart]]+Tasks[[#This Row],[_Row]]/100000,"")</f>
        <v/>
      </c>
      <c r="GI175" s="42" t="n">
        <f aca="false">Tasks[[#This Row],[_LeafWork]]*Tasks[[#This Row],[_LeafProgress]]</f>
        <v>0</v>
      </c>
      <c r="GJ175" s="89" t="str">
        <f aca="false">IF(AND(Tasks[[#This Row],[_IsLeaf]]=1,Tasks[[#This Row],[_LeafProgress]]&gt;=1),IF(N(Tasks[[#This Row],[Actual Finish]])&gt;0,Tasks[[#This Row],[Actual Finish]],Tasks[[#This Row],[_ShownFcstFinish]]),"")</f>
        <v/>
      </c>
      <c r="GK175" s="42" t="n">
        <f aca="false">IF(Tasks[[#This Row],[_IsLeaf]]=1,N(Tasks[[#This Row],[Story Points]]),0)</f>
        <v>0</v>
      </c>
      <c r="GL175" s="42" t="str">
        <f aca="false">""</f>
        <v/>
      </c>
      <c r="GM175" s="88" t="b">
        <f aca="false">IF(Tasks[[#This Row],[Task Name]]="",FALSE(),AND(Tasks[[#This Row],[_IsLeaf]]=1,N(Tasks[[#This Row],[_Days]])=0))</f>
        <v>0</v>
      </c>
      <c r="GN175" s="89" t="n">
        <f aca="false">IF(Tasks[[#This Row],[Task Name]]="",0,IF(AND(Tasks[[#This Row],[_IsLeaf]]=1,NOT(Tasks[[#This Row],[_IsMilestone]]),N(Tasks[[#This Row],[Progress]])&gt;0),Tasks[[#This Row],[Start]],0))</f>
        <v>0</v>
      </c>
      <c r="GO175" s="89" t="n">
        <f aca="false">IF(Tasks[[#This Row],[_DoneFrom]]=0,0,IF(Tasks[[#This Row],[Progress]]&gt;=1,Tasks[[#This Row],[Finish]],MAX(Tasks[[#This Row],[_DoneFrom]],Tasks[[#This Row],[Start]]+ROUND((Tasks[[#This Row],[Finish]]-Tasks[[#This Row],[Start]]+1)*Tasks[[#This Row],[Progress]],0)-1)))</f>
        <v>0</v>
      </c>
      <c r="GP175" s="89" t="n">
        <f aca="false">IF(Tasks[[#This Row],[Task Name]]="",0,IF(OR(NOT(Tasks[[#This Row],[_IsLeaf]]=1),Tasks[[#This Row],[_IsMilestone]],N(Tasks[[#This Row],[Progress]])&gt;=1),0,IF(Tasks[[#This Row],[_DoneTo]]&gt;0,Tasks[[#This Row],[_DoneTo]]+1,Tasks[[#This Row],[Start]])))</f>
        <v>0</v>
      </c>
      <c r="GQ175" s="89" t="n">
        <f aca="false">IF(Tasks[[#This Row],[_RemFrom]]=0,0,Tasks[[#This Row],[Finish]])</f>
        <v>0</v>
      </c>
      <c r="GR175" s="88" t="b">
        <f aca="false">IF(Tasks[[#This Row],[Task Name]]="",FALSE(),OR(NOT(BaselineSet),N(Tasks[[#This Row],[Baseline Start]])&gt;0))</f>
        <v>0</v>
      </c>
      <c r="GS1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5" s="90" t="str">
        <f aca="false">IF(Tasks[[#This Row],[_IsLeaf]]=1,Tasks[[#This Row],[_Row]],"")</f>
        <v/>
      </c>
      <c r="GW175" s="90" t="str">
        <f aca="false">IFERROR(INDEX(Tasks[UID],SMALL(Tasks[_PickKey],Tasks[[#This Row],[_Row]]))&amp;" "&amp;INDEX(Tasks[Task Name],SMALL(Tasks[_PickKey],Tasks[[#This Row],[_Row]])),"")</f>
        <v/>
      </c>
      <c r="GX175" s="42" t="str">
        <f aca="false">IF(Tasks[[#This Row],[Task Name]]="","",IF(Tasks[[#This Row],[_IsSummary]],NETWORKDAYS.INTL(Tasks[[#This Row],[Start]],Tasks[[#This Row],[Finish]],WorkWeek,Holidays),N(Tasks[[#This Row],[_Days]])))</f>
        <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3"/>
      <c r="U176" s="23"/>
      <c r="V176" s="83"/>
      <c r="W176" s="23"/>
      <c r="X176" s="83"/>
      <c r="Y176" s="23"/>
      <c r="Z176" s="83"/>
      <c r="AA176" s="23"/>
      <c r="AB176" s="23"/>
      <c r="AC176" s="7"/>
      <c r="AD176" s="7"/>
      <c r="AE176" s="62" t="str">
        <f aca="false">IF(Tasks[[#This Row],[Task Name]]="","",IF(Tasks[[#This Row],[_IsSummary]],MIN(INDEX(Tasks[_ShownFcstStart],Tasks[[#This Row],[_Row]]+1):INDEX(Tasks[_ShownFcstStart],Tasks[[#This Row],[_Row]]+Tasks[[#This Row],[_Descendants]])),Tasks[[#This Row],[_ShownFcstStart]]))</f>
        <v/>
      </c>
      <c r="AF176" s="62"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6" s="7"/>
      <c r="AK176" s="22"/>
      <c r="AL176" s="23"/>
      <c r="AM176" s="7"/>
      <c r="AN176" s="46"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2" t="str">
        <f aca="false">IF(Tasks[[#This Row],[Task Name]]="","",IF(N(Tasks[[#This Row],[Baseline Start]])&gt;0,Tasks[[#This Row],[Baseline Start]],Tasks[[#This Row],[_CalcStart]]))</f>
        <v/>
      </c>
      <c r="AR176" s="62" t="str">
        <f aca="false">IF(Tasks[[#This Row],[Task Name]]="","",IF(N(Tasks[[#This Row],[Baseline Finish]])&gt;0,Tasks[[#This Row],[Baseline Finish]],Tasks[[#This Row],[_CalcFinish]]))</f>
        <v/>
      </c>
      <c r="AS176" s="46" t="str">
        <f aca="false">IF(Tasks[[#This Row],[Task Name]]="","",IF(Tasks[[#This Row],[Start]]&gt;=Tasks[[#This Row],[Planned Start]],NETWORKDAYS.INTL(Tasks[[#This Row],[Planned Start]],Tasks[[#This Row],[Start]],WorkWeek,Holidays)-1,1-NETWORKDAYS.INTL(Tasks[[#This Row],[Start]],Tasks[[#This Row],[Planned Start]],WorkWeek,Holidays)))</f>
        <v/>
      </c>
      <c r="AT176" s="62" t="str">
        <f aca="false">IF(Tasks[[#This Row],[Task Name]]="","",IF(Tasks[[#This Row],[_IsSummary]],MIN(INDEX(Tasks[_LeafLateStart],Tasks[[#This Row],[_Row]]+1):INDEX(Tasks[_LeafLateStart],Tasks[[#This Row],[_Row]]+Tasks[[#This Row],[_Descendants]])),Tasks[[#This Row],[_LeafLateStart]]))</f>
        <v/>
      </c>
      <c r="AU176" s="62" t="str">
        <f aca="false">IF(Tasks[[#This Row],[Task Name]]="","",IF(Tasks[[#This Row],[_IsSummary]],MAX(INDEX(Tasks[_LeafLateFinish],Tasks[[#This Row],[_Row]]+1):INDEX(Tasks[_LeafLateFinish],Tasks[[#This Row],[_Row]]+Tasks[[#This Row],[_Descendants]])),Tasks[[#This Row],[_LeafLateFinish]]))</f>
        <v/>
      </c>
      <c r="AV176" s="46"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4"/>
      <c r="BA1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5"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6"/>
      <c r="BJ176" s="22"/>
      <c r="BK176" s="46" t="str">
        <f aca="false">IF(OR(Tasks[[#This Row],[Task Name]]="",Tasks[[#This Row],[Baseline Duration]]=""),"",Tasks[[#This Row],[_SpanDays]]-N(Tasks[[#This Row],[Baseline Duration]]))</f>
        <v/>
      </c>
      <c r="BL176" s="85" t="str">
        <f aca="false">IF(OR(Tasks[[#This Row],[Task Name]]="",Tasks[[#This Row],[Baseline Work]]=""),"",Tasks[[#This Row],[Work]]-N(Tasks[[#This Row],[Baseline Work]]))</f>
        <v/>
      </c>
      <c r="BM176" s="62" t="str">
        <f aca="false">IF(Tasks[[#This Row],[Task Name]]="","",IF(OR(TakeBaseline="Yes",N(Tasks[[#This Row],[Baseline Start]])=0),Tasks[[#This Row],[Start]],Tasks[[#This Row],[Baseline Start]]))</f>
        <v/>
      </c>
      <c r="BN176" s="62"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5" t="str">
        <f aca="false">IF(Tasks[[#This Row],[Task Name]]="","",IF(OR(TakeBaseline="Yes",N(Tasks[[#This Row],[Baseline Work]])=0),Tasks[[#This Row],[Work]],Tasks[[#This Row],[Baseline Work]]))</f>
        <v/>
      </c>
      <c r="BQ176" s="7"/>
      <c r="BR176" s="7"/>
      <c r="BS176" s="22"/>
      <c r="BT176" s="87"/>
      <c r="BU176" s="42" t="str">
        <f aca="false">IF(Tasks[[#This Row],[Task Name]]="","",MAX(1,N(Tasks[[#This Row],[Level]])))</f>
        <v/>
      </c>
      <c r="BV176" s="42" t="n">
        <f aca="false">ROW()-ROW(Tasks[[#Headers],[ID]])</f>
        <v>171</v>
      </c>
      <c r="BW176" s="42" t="n">
        <f aca="false">IF(OR(Tasks[[#This Row],[Task Name]]="",Tasks[[#This Row],[_Level]]&lt;=1),0,IFERROR(LOOKUP(2,1/(Tasks[[#Headers],[_Level]]:Tasks[[#This Row],[_Level]]=Tasks[[#This Row],[_Level]]-1),ROW(Tasks[[#Headers],[_Level]]:Tasks[[#This Row],[_Level]])),0))</f>
        <v>0</v>
      </c>
      <c r="BX176" s="42" t="n">
        <f aca="false">IFERROR(N(INDEX(Tasks[_Level],Tasks[[#This Row],[_Row]]+1)),0)</f>
        <v>0</v>
      </c>
      <c r="BY176" s="88" t="b">
        <f aca="false">AND(Tasks[[#This Row],[Task Name]]&lt;&gt;"",Tasks[[#This Row],[_NextLevel]]&gt;Tasks[[#This Row],[_Level]])</f>
        <v>0</v>
      </c>
      <c r="BZ176" s="42" t="n">
        <f aca="false">IF(Tasks[[#This Row],[_IsSummary]],COUNTIF(Tasks[WBS],Tasks[[#This Row],[WBS]]&amp;".*"),0)</f>
        <v>0</v>
      </c>
      <c r="CA176" s="42" t="n">
        <f aca="false">IF(AND(Tasks[[#This Row],[Task Name]]&lt;&gt;"",NOT(Tasks[[#This Row],[_IsSummary]])),1,0)</f>
        <v>0</v>
      </c>
      <c r="CB176" s="42" t="n">
        <f aca="false">IF(N(Tasks[[#This Row],[_Pred1UID]])=0,0,IFERROR(MATCH(Tasks[[#This Row],[_Pred1UID]],Tasks[UID],0),-1))</f>
        <v>0</v>
      </c>
      <c r="CC176" s="42" t="n">
        <f aca="false">IF(N(Tasks[[#This Row],[_Pred2UID]])=0,0,IFERROR(MATCH(Tasks[[#This Row],[_Pred2UID]],Tasks[UID],0),-1))</f>
        <v>0</v>
      </c>
      <c r="CD176" s="42" t="n">
        <f aca="false">IF(N(Tasks[[#This Row],[_Pred3UID]])=0,0,IFERROR(MATCH(Tasks[[#This Row],[_Pred3UID]],Tasks[UID],0),-1))</f>
        <v>0</v>
      </c>
      <c r="CE176" s="42" t="n">
        <f aca="false">IF(N(Tasks[[#This Row],[_Pred4UID]])=0,0,IFERROR(MATCH(Tasks[[#This Row],[_Pred4UID]],Tasks[UID],0),-1))</f>
        <v>0</v>
      </c>
      <c r="CF1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6" s="89" t="n">
        <f aca="false">IF(OR(Tasks[[#This Row],[_ConstraintCode]]=2,Tasks[[#This Row],[_ConstraintCode]]=3,Tasks[[#This Row],[_ConstraintCode]]=4,Tasks[[#This Row],[_ConstraintCode]]=6),Tasks[[#This Row],[_ConstraintStart]],0)</f>
        <v>0</v>
      </c>
      <c r="CI176" s="89" t="n">
        <f aca="false">IF(OR(Tasks[[#This Row],[_ConstraintCode]]=2,Tasks[[#This Row],[_ConstraintCode]]=3,Tasks[[#This Row],[_ConstraintCode]]=5,Tasks[[#This Row],[_ConstraintCode]]=7),Tasks[[#This Row],[_ConstraintStart]],2958465)</f>
        <v>2958465</v>
      </c>
      <c r="CJ1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6" s="89" t="str">
        <f aca="false">IF(NOT(Tasks[[#This Row],[_IsLeaf]]=1),"",IF(N(Tasks[[#This Row],[_Days]])&lt;=0,Tasks[[#This Row],[_LeafCalcStart]],WORKDAY.INTL(Tasks[[#This Row],[_LeafCalcStart]],Tasks[[#This Row],[_Days]]-1,WorkWeek,Holidays)))</f>
        <v/>
      </c>
      <c r="CL1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6" s="42" t="str">
        <f aca="false">IF(Tasks[[#This Row],[_Predecessors]]="","",TRIM(MID(SUBSTITUTE(SUBSTITUTE(SUBSTITUTE(UPPER(Tasks[[#This Row],[_Predecessors]]),";",",")," ",""),",",REPT(" ",99)),1,99)))</f>
        <v/>
      </c>
      <c r="CO176" s="42" t="str">
        <f aca="false">IF(Tasks[[#This Row],[_Pred1Text]]="","",IFERROR(VALUE(LEFT(Tasks[[#This Row],[_Pred1Text]],MIN(FIND("F",Tasks[[#This Row],[_Pred1Text]]&amp;"F"),FIND("S",Tasks[[#This Row],[_Pred1Text]]&amp;"S"),FIND("+",Tasks[[#This Row],[_Pred1Text]]&amp;"+"),FIND("-",Tasks[[#This Row],[_Pred1Text]]&amp;"-"))-1)),""))</f>
        <v/>
      </c>
      <c r="CP1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6" s="42" t="str">
        <f aca="false">IF(Tasks[[#This Row],[_Pred1Text]]="","",TRIM(MID(SUBSTITUTE(SUBSTITUTE(SUBSTITUTE(UPPER(Tasks[[#This Row],[_Predecessors]]),";",",")," ",""),",",REPT(" ",99)),100,99)))</f>
        <v/>
      </c>
      <c r="CS176" s="42" t="str">
        <f aca="false">IF(Tasks[[#This Row],[_Pred2Text]]="","",IFERROR(VALUE(LEFT(Tasks[[#This Row],[_Pred2Text]],MIN(FIND("F",Tasks[[#This Row],[_Pred2Text]]&amp;"F"),FIND("S",Tasks[[#This Row],[_Pred2Text]]&amp;"S"),FIND("+",Tasks[[#This Row],[_Pred2Text]]&amp;"+"),FIND("-",Tasks[[#This Row],[_Pred2Text]]&amp;"-"))-1)),""))</f>
        <v/>
      </c>
      <c r="CT1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6" s="42" t="str">
        <f aca="false">IF(Tasks[[#This Row],[_Pred2Text]]="","",TRIM(MID(SUBSTITUTE(SUBSTITUTE(SUBSTITUTE(UPPER(Tasks[[#This Row],[_Predecessors]]),";",",")," ",""),",",REPT(" ",99)),199,99)))</f>
        <v/>
      </c>
      <c r="CW176" s="42" t="str">
        <f aca="false">IF(Tasks[[#This Row],[_Pred3Text]]="","",IFERROR(VALUE(LEFT(Tasks[[#This Row],[_Pred3Text]],MIN(FIND("F",Tasks[[#This Row],[_Pred3Text]]&amp;"F"),FIND("S",Tasks[[#This Row],[_Pred3Text]]&amp;"S"),FIND("+",Tasks[[#This Row],[_Pred3Text]]&amp;"+"),FIND("-",Tasks[[#This Row],[_Pred3Text]]&amp;"-"))-1)),""))</f>
        <v/>
      </c>
      <c r="CX1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6" s="42" t="str">
        <f aca="false">IF(Tasks[[#This Row],[_Pred3Text]]="","",TRIM(MID(SUBSTITUTE(SUBSTITUTE(SUBSTITUTE(UPPER(Tasks[[#This Row],[_Predecessors]]),";",",")," ",""),",",REPT(" ",99)),298,99)))</f>
        <v/>
      </c>
      <c r="DA176" s="42" t="str">
        <f aca="false">IF(Tasks[[#This Row],[_Pred4Text]]="","",IFERROR(VALUE(LEFT(Tasks[[#This Row],[_Pred4Text]],MIN(FIND("F",Tasks[[#This Row],[_Pred4Text]]&amp;"F"),FIND("S",Tasks[[#This Row],[_Pred4Text]]&amp;"S"),FIND("+",Tasks[[#This Row],[_Pred4Text]]&amp;"+"),FIND("-",Tasks[[#This Row],[_Pred4Text]]&amp;"-"))-1)),""))</f>
        <v/>
      </c>
      <c r="DB1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6" s="42" t="str">
        <f aca="false">IF(OR(Tasks[[#This Row],[Task Name]]="",Tasks[[#This Row],[_Resources]]=""),"",TRIM(MID(SUBSTITUTE(Tasks[[#This Row],[_Resources]],",",REPT(" ",99)),1,99)))</f>
        <v/>
      </c>
      <c r="DE176" s="42" t="str">
        <f aca="false">IF(Tasks[[#This Row],[_Res1Text]]="","",TRIM(MID(SUBSTITUTE(Tasks[[#This Row],[_Resources]],",",REPT(" ",99)),100,99)))</f>
        <v/>
      </c>
      <c r="DF176" s="42" t="str">
        <f aca="false">IF(Tasks[[#This Row],[_Res2Text]]="","",TRIM(MID(SUBSTITUTE(Tasks[[#This Row],[_Resources]],",",REPT(" ",99)),199,99)))</f>
        <v/>
      </c>
      <c r="DG176" s="42" t="str">
        <f aca="false">IF(Tasks[[#This Row],[_Res3Text]]="","",TRIM(MID(SUBSTITUTE(Tasks[[#This Row],[_Resources]],",",REPT(" ",99)),298,99)))</f>
        <v/>
      </c>
      <c r="DH176" s="42" t="n">
        <f aca="false">IF(Tasks[[#This Row],[_Res1Text]]="",0,IFERROR(MATCH(TRIM(LEFT(Tasks[[#This Row],[_Res1Text]],FIND("[",Tasks[[#This Row],[_Res1Text]]&amp;"[")-1)),res_Name,0),IFERROR(MATCH(TRIM(LEFT(Tasks[[#This Row],[_Res1Text]],FIND("[",Tasks[[#This Row],[_Res1Text]]&amp;"[")-1)),res_Initials,0),0)))</f>
        <v>0</v>
      </c>
      <c r="DI176" s="42" t="n">
        <f aca="false">IF(Tasks[[#This Row],[_Res2Text]]="",0,IFERROR(MATCH(TRIM(LEFT(Tasks[[#This Row],[_Res2Text]],FIND("[",Tasks[[#This Row],[_Res2Text]]&amp;"[")-1)),res_Name,0),IFERROR(MATCH(TRIM(LEFT(Tasks[[#This Row],[_Res2Text]],FIND("[",Tasks[[#This Row],[_Res2Text]]&amp;"[")-1)),res_Initials,0),0)))</f>
        <v>0</v>
      </c>
      <c r="DJ176" s="42" t="n">
        <f aca="false">IF(Tasks[[#This Row],[_Res3Text]]="",0,IFERROR(MATCH(TRIM(LEFT(Tasks[[#This Row],[_Res3Text]],FIND("[",Tasks[[#This Row],[_Res3Text]]&amp;"[")-1)),res_Name,0),IFERROR(MATCH(TRIM(LEFT(Tasks[[#This Row],[_Res3Text]],FIND("[",Tasks[[#This Row],[_Res3Text]]&amp;"[")-1)),res_Initials,0),0)))</f>
        <v>0</v>
      </c>
      <c r="DK176" s="42" t="n">
        <f aca="false">IF(Tasks[[#This Row],[_Res4Text]]="",0,IFERROR(MATCH(TRIM(LEFT(Tasks[[#This Row],[_Res4Text]],FIND("[",Tasks[[#This Row],[_Res4Text]]&amp;"[")-1)),res_Name,0),IFERROR(MATCH(TRIM(LEFT(Tasks[[#This Row],[_Res4Text]],FIND("[",Tasks[[#This Row],[_Res4Text]]&amp;"[")-1)),res_Initials,0),0)))</f>
        <v>0</v>
      </c>
      <c r="DL176" s="42" t="str">
        <f aca="false">IF(Tasks[[#This Row],[_Res1Text]]="","",IF(Tasks[[#This Row],[_Res1Row]]&gt;0,INDEX(res_Name,Tasks[[#This Row],[_Res1Row]]),TRIM(LEFT(Tasks[[#This Row],[_Res1Text]],FIND("[",Tasks[[#This Row],[_Res1Text]]&amp;"[")-1))))</f>
        <v/>
      </c>
      <c r="DM1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6" s="42" t="n">
        <f aca="false">IF(NOT(Tasks[[#This Row],[_IsLeaf]]=1),0,(Tasks[[#This Row],[_Resource1]]&lt;&gt;"")+(Tasks[[#This Row],[_Res2]]&lt;&gt;"")+(Tasks[[#This Row],[_Res3]]&lt;&gt;"")+(Tasks[[#This Row],[_Res4]]&lt;&gt;""))</f>
        <v>0</v>
      </c>
      <c r="DO176" s="42" t="str">
        <f aca="false">IF(Tasks[[#This Row],[_Res2Text]]="","",IF(Tasks[[#This Row],[_Res2Row]]&gt;0,INDEX(res_Name,Tasks[[#This Row],[_Res2Row]]),TRIM(LEFT(Tasks[[#This Row],[_Res2Text]],FIND("[",Tasks[[#This Row],[_Res2Text]]&amp;"[")-1))))</f>
        <v/>
      </c>
      <c r="DP1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6" s="42" t="n">
        <f aca="false">IF(OR(NOT(Tasks[[#This Row],[_IsLeaf]]=1),Tasks[[#This Row],[_Res2Row]]=0),0,N(Tasks[[#This Row],[_Days]])*HoursPerDay*IF(Tasks[[#This Row],[_Res2Units]]="",DefaultUnits,Tasks[[#This Row],[_Res2Units]]))</f>
        <v>0</v>
      </c>
      <c r="DR176" s="42" t="n">
        <f aca="false">IF(AND(AND(Tasks[[#This Row],[_IsLeaf]]=1,Tasks[[#This Row],[_LeafTotalWork]]&gt;0),Tasks[[#This Row],[_Res2Work]]&gt;0),Tasks[[#This Row],[_Res2Work]]/(Tasks[[#This Row],[_FinishWorkday]]-Tasks[[#This Row],[_StartWorkday]]+1),0)</f>
        <v>0</v>
      </c>
      <c r="DS176" s="42" t="n">
        <f aca="false">Tasks[[#This Row],[_Res2WorkPerWD]]*MAX(0,Tasks[[#This Row],[_StartWorkday]]-1)</f>
        <v>0</v>
      </c>
      <c r="DT176" s="42" t="n">
        <f aca="false">Tasks[[#This Row],[_Res2Work]]*Tasks[[#This Row],[_LeafProgress]]</f>
        <v>0</v>
      </c>
      <c r="DU176" s="42" t="str">
        <f aca="false">IF(Tasks[[#This Row],[_Res3Text]]="","",IF(Tasks[[#This Row],[_Res3Row]]&gt;0,INDEX(res_Name,Tasks[[#This Row],[_Res3Row]]),TRIM(LEFT(Tasks[[#This Row],[_Res3Text]],FIND("[",Tasks[[#This Row],[_Res3Text]]&amp;"[")-1))))</f>
        <v/>
      </c>
      <c r="DV1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6" s="42" t="n">
        <f aca="false">IF(OR(NOT(Tasks[[#This Row],[_IsLeaf]]=1),Tasks[[#This Row],[_Res3Row]]=0),0,N(Tasks[[#This Row],[_Days]])*HoursPerDay*IF(Tasks[[#This Row],[_Res3Units]]="",DefaultUnits,Tasks[[#This Row],[_Res3Units]]))</f>
        <v>0</v>
      </c>
      <c r="DX176" s="42" t="n">
        <f aca="false">IF(AND(AND(Tasks[[#This Row],[_IsLeaf]]=1,Tasks[[#This Row],[_LeafTotalWork]]&gt;0),Tasks[[#This Row],[_Res3Work]]&gt;0),Tasks[[#This Row],[_Res3Work]]/(Tasks[[#This Row],[_FinishWorkday]]-Tasks[[#This Row],[_StartWorkday]]+1),0)</f>
        <v>0</v>
      </c>
      <c r="DY176" s="42" t="n">
        <f aca="false">Tasks[[#This Row],[_Res3WorkPerWD]]*MAX(0,Tasks[[#This Row],[_StartWorkday]]-1)</f>
        <v>0</v>
      </c>
      <c r="DZ176" s="42" t="n">
        <f aca="false">Tasks[[#This Row],[_Res3Work]]*Tasks[[#This Row],[_LeafProgress]]</f>
        <v>0</v>
      </c>
      <c r="EA176" s="42" t="str">
        <f aca="false">IF(Tasks[[#This Row],[_Res4Text]]="","",IF(Tasks[[#This Row],[_Res4Row]]&gt;0,INDEX(res_Name,Tasks[[#This Row],[_Res4Row]]),TRIM(LEFT(Tasks[[#This Row],[_Res4Text]],FIND("[",Tasks[[#This Row],[_Res4Text]]&amp;"[")-1))))</f>
        <v/>
      </c>
      <c r="EB1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6" s="42" t="n">
        <f aca="false">IF(OR(NOT(Tasks[[#This Row],[_IsLeaf]]=1),Tasks[[#This Row],[_Res4Row]]=0),0,N(Tasks[[#This Row],[_Days]])*HoursPerDay*IF(Tasks[[#This Row],[_Res4Units]]="",DefaultUnits,Tasks[[#This Row],[_Res4Units]]))</f>
        <v>0</v>
      </c>
      <c r="ED176" s="42" t="n">
        <f aca="false">IF(AND(AND(Tasks[[#This Row],[_IsLeaf]]=1,Tasks[[#This Row],[_LeafTotalWork]]&gt;0),Tasks[[#This Row],[_Res4Work]]&gt;0),Tasks[[#This Row],[_Res4Work]]/(Tasks[[#This Row],[_FinishWorkday]]-Tasks[[#This Row],[_StartWorkday]]+1),0)</f>
        <v>0</v>
      </c>
      <c r="EE176" s="42" t="n">
        <f aca="false">Tasks[[#This Row],[_Res4WorkPerWD]]*MAX(0,Tasks[[#This Row],[_StartWorkday]]-1)</f>
        <v>0</v>
      </c>
      <c r="EF176" s="42" t="n">
        <f aca="false">Tasks[[#This Row],[_Res4Work]]*Tasks[[#This Row],[_LeafProgress]]</f>
        <v>0</v>
      </c>
      <c r="EG176" s="42" t="n">
        <f aca="false">IF(ISNUMBER(Tasks[[#This Row],[% Complete]]),Tasks[[#This Row],[% Complete]],IF(Tasks[[#This Row],[Stage]]="",0,IFERROR(INDEX(stg_Pct,MATCH(Tasks[[#This Row],[Stage]],stg_Name,0)),0)))</f>
        <v>0</v>
      </c>
      <c r="EH176" s="42" t="n">
        <f aca="false">IF(NOT(Tasks[[#This Row],[_IsLeaf]]=1),0,IF(N(Tasks[[#This Row],[Actual Finish]])&gt;0,1,MIN(1,Tasks[[#This Row],[_Pct]])))</f>
        <v>0</v>
      </c>
      <c r="EI176" s="42" t="n">
        <f aca="false">IF(OR(NOT(Tasks[[#This Row],[_IsLeaf]]=1),Tasks[[#This Row],[_Res1Row]]=0),0,N(Tasks[[#This Row],[_Days]])*HoursPerDay*IF(Tasks[[#This Row],[_Units1]]="",DefaultUnits,Tasks[[#This Row],[_Units1]]))</f>
        <v>0</v>
      </c>
      <c r="EJ176" s="42" t="n">
        <f aca="false">Tasks[[#This Row],[_LeafWork]]+Tasks[[#This Row],[_Res2Work]]+Tasks[[#This Row],[_Res3Work]]+Tasks[[#This Row],[_Res4Work]]</f>
        <v>0</v>
      </c>
      <c r="EK1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6" s="42" t="n">
        <f aca="false">IF(NOT(Tasks[[#This Row],[_IsLeaf]]=1),0,MAX(_xlfn.MAXIFS(Tasks[_Row],Tasks[_Pred1UID],Tasks[[#This Row],[UID]]),_xlfn.MAXIFS(Tasks[_Row],Tasks[_Pred2UID],Tasks[[#This Row],[UID]]),_xlfn.MAXIFS(Tasks[_Row],Tasks[_Pred3UID],Tasks[[#This Row],[UID]]),_xlfn.MAXIFS(Tasks[_Row],Tasks[_Pred4UID],Tasks[[#This Row],[UID]])))</f>
        <v>0</v>
      </c>
      <c r="ET1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6" s="89" t="str">
        <f aca="false">IF(NOT(Tasks[[#This Row],[_IsLeaf]]=1),"",IF(N(Tasks[[#This Row],[_Days]])&lt;=0,Tasks[[#This Row],[_LeafLateFinish]],WORKDAY.INTL(Tasks[[#This Row],[_LeafLateFinish]],-(Tasks[[#This Row],[_Days]]-1),WorkWeek,Holidays)))</f>
        <v/>
      </c>
      <c r="EW1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6" s="88" t="b">
        <f aca="false">AND(Tasks[[#This Row],[_IsLeaf]]=1,Tasks[[#This Row],[_LeafProgress]]&lt;1,N(Tasks[[#This Row],[_LeafTotalSlack]])&lt;=CriticalSlackDays)</f>
        <v>0</v>
      </c>
      <c r="EY176" s="42" t="n">
        <f aca="false">IF(AND(Tasks[[#This Row],[_IsLeaf]]=1,Tasks[[#This Row],[_ConstraintCode]]=1,Tasks[[#This Row],[Mode]]&lt;&gt;"Manual",N(Tasks[[#This Row],[Actual Start]])=0),MAX(0,N(Tasks[[#This Row],[Free Slack]])),0)</f>
        <v>0</v>
      </c>
      <c r="EZ176" s="89" t="str">
        <f aca="false">IF(NOT(Tasks[[#This Row],[_IsLeaf]]=1),"",IF(Tasks[[#This Row],[_AlapShift]]=0,Tasks[[#This Row],[_LeafCalcStart]],WORKDAY.INTL(Tasks[[#This Row],[_LeafCalcStart]],Tasks[[#This Row],[_AlapShift]],WorkWeek,Holidays)))</f>
        <v/>
      </c>
      <c r="FA176" s="89" t="str">
        <f aca="false">IF(NOT(Tasks[[#This Row],[_IsLeaf]]=1),"",IF(Tasks[[#This Row],[_AlapShift]]=0,Tasks[[#This Row],[_LeafCalcFinish]],WORKDAY.INTL(Tasks[[#This Row],[_LeafCalcFinish]],Tasks[[#This Row],[_AlapShift]],WorkWeek,Holidays)))</f>
        <v/>
      </c>
      <c r="FB176" s="89" t="str">
        <f aca="false">IF(NOT(Tasks[[#This Row],[_IsLeaf]]=1),"",IF(Tasks[[#This Row],[_AlapShift]]=0,Tasks[[#This Row],[_LeafFcstStart]],WORKDAY.INTL(Tasks[[#This Row],[_LeafFcstStart]],Tasks[[#This Row],[_AlapShift]],WorkWeek,Holidays)))</f>
        <v/>
      </c>
      <c r="FC176" s="89" t="str">
        <f aca="false">IF(NOT(Tasks[[#This Row],[_IsLeaf]]=1),"",IF(Tasks[[#This Row],[_AlapShift]]=0,Tasks[[#This Row],[_LeafFcstFinish]],WORKDAY.INTL(Tasks[[#This Row],[_LeafFcstFinish]],Tasks[[#This Row],[_AlapShift]],WorkWeek,Holidays)))</f>
        <v/>
      </c>
      <c r="FD176" s="89" t="str">
        <f aca="false">IF(Tasks[[#This Row],[Task Name]]="","",IF(Tasks[[#This Row],[_IsSummary]],MIN(INDEX(Tasks[_ShownCalcStart],Tasks[[#This Row],[_Row]]+1):INDEX(Tasks[_ShownCalcStart],Tasks[[#This Row],[_Row]]+Tasks[[#This Row],[_Descendants]])),Tasks[[#This Row],[_ShownCalcStart]]))</f>
        <v/>
      </c>
      <c r="FE176" s="89" t="str">
        <f aca="false">IF(Tasks[[#This Row],[Task Name]]="","",IF(Tasks[[#This Row],[_IsSummary]],MAX(INDEX(Tasks[_ShownCalcFinish],Tasks[[#This Row],[_Row]]+1):INDEX(Tasks[_ShownCalcFinish],Tasks[[#This Row],[_Row]]+Tasks[[#This Row],[_Descendants]])),Tasks[[#This Row],[_ShownCalcFinish]]))</f>
        <v/>
      </c>
      <c r="FF1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6" s="42" t="n">
        <f aca="false">IF(AND(Tasks[[#This Row],[_IsLeaf]]=1,Tasks[[#This Row],[_LeafTotalWork]]&gt;0),NETWORKDAYS.INTL(ProjectStart,Tasks[[#This Row],[_ShownFcstStart]],WorkWeek,Holidays),0)</f>
        <v>0</v>
      </c>
      <c r="FS176" s="42" t="n">
        <f aca="false">IF(AND(Tasks[[#This Row],[_IsLeaf]]=1,Tasks[[#This Row],[_LeafTotalWork]]&gt;0),MAX(Tasks[[#This Row],[_StartWorkday]],NETWORKDAYS.INTL(ProjectStart,Tasks[[#This Row],[_ShownFcstFinish]],WorkWeek,Holidays)),0)</f>
        <v>0</v>
      </c>
      <c r="FT176" s="42" t="n">
        <f aca="false">IF(AND(Tasks[[#This Row],[_IsLeaf]]=1,Tasks[[#This Row],[_LeafTotalWork]]&gt;0),Tasks[[#This Row],[_LeafWork]]/(Tasks[[#This Row],[_FinishWorkday]]-Tasks[[#This Row],[_StartWorkday]]+1),0)</f>
        <v>0</v>
      </c>
      <c r="FU176" s="42" t="n">
        <f aca="false">Tasks[[#This Row],[_WorkPerWorkday]]*(Tasks[[#This Row],[_StartWorkday]]-1)</f>
        <v>-0</v>
      </c>
      <c r="FV176" s="42" t="n">
        <f aca="false">IF(Tasks[[#This Row],[_IsLeaf]]=1,MAX(N(Tasks[[#This Row],[_Days]]),0.1),0)</f>
        <v>0</v>
      </c>
      <c r="FW176" s="42" t="n">
        <f aca="false">Tasks[[#This Row],[_WeightDur]]*Tasks[[#This Row],[_LeafProgress]]</f>
        <v>0</v>
      </c>
      <c r="FX176" s="42" t="n">
        <f aca="false">Tasks[[#This Row],[_WeightDur]]*Tasks[[#This Row],[_PlannedPct]]</f>
        <v>0</v>
      </c>
      <c r="FY1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6" s="42" t="str">
        <f aca="false">IF(AND(Tasks[[#This Row],[_IsLeaf]]=1,N(Tasks[[#This Row],[_Days]])=0,Tasks[[#This Row],[_LeafProgress]]&lt;1),Tasks[[#This Row],[_ShownFcstFinish]]+Tasks[[#This Row],[_Row]]/100000,"")</f>
        <v/>
      </c>
      <c r="GA1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6" s="42" t="str">
        <f aca="false">IF(Tasks[[#This Row],[Task Name]]="","",LEFT(Tasks[[#This Row],[WBS]],FIND(".",Tasks[[#This Row],[WBS]]&amp;".")-1))</f>
        <v/>
      </c>
      <c r="GC176" s="42" t="str">
        <f aca="false">IF(AND(Tasks[[#This Row],[Task Name]]&lt;&gt;"",Tasks[[#This Row],[_Level]]=1),Tasks[[#This Row],[_Row]],"")</f>
        <v/>
      </c>
      <c r="GD176" s="42" t="str">
        <f aca="false">IF(AND(Tasks[[#This Row],[_IsLeaf]]=1,N(Tasks[[#This Row],[_Days]])=0),Tasks[[#This Row],[Planned Finish]]+Tasks[[#This Row],[_Row]]/100000,"")</f>
        <v/>
      </c>
      <c r="GE176" s="42" t="str">
        <f aca="false">IF(AND(Tasks[[#This Row],[_IsLeaf]]=1,Tasks[[#This Row],[_LeafProgress]]&lt;1,OR(N(Tasks[[#This Row],[Finish Var]])&gt;0,Tasks[[#This Row],[Status]]="Late Start")),MAX(0,Tasks[[#This Row],[Finish Var]])+1-Tasks[[#This Row],[_Row]]/1000000,"")</f>
        <v/>
      </c>
      <c r="GF176" s="42" t="str">
        <f aca="false">IF(AND(Tasks[[#This Row],[_IsLeaf]]=1,N(Tasks[[#This Row],[Actual Start]])=0,Tasks[[#This Row],[_ShownFcstStart]]&gt;=StatusDate,Tasks[[#This Row],[_ShownFcstStart]]&lt;=LookaheadEnd),Tasks[[#This Row],[_ShownFcstStart]]+Tasks[[#This Row],[_Row]]/100000,"")</f>
        <v/>
      </c>
      <c r="GG176" s="42" t="str">
        <f aca="false">IF(AND(Tasks[[#This Row],[_IsLeaf]]=1,Tasks[[#This Row],[_LeafProgress]]&lt;1,Tasks[[#This Row],[_ShownFcstFinish]]&gt;=StatusDate,Tasks[[#This Row],[_ShownFcstFinish]]&lt;=LookaheadEnd),Tasks[[#This Row],[_ShownFcstFinish]]+Tasks[[#This Row],[_Row]]/100000,"")</f>
        <v/>
      </c>
      <c r="GH176" s="42" t="str">
        <f aca="false">IF(Tasks[[#This Row],[_LeafCritical]],Tasks[[#This Row],[_ShownFcstStart]]+Tasks[[#This Row],[_Row]]/100000,"")</f>
        <v/>
      </c>
      <c r="GI176" s="42" t="n">
        <f aca="false">Tasks[[#This Row],[_LeafWork]]*Tasks[[#This Row],[_LeafProgress]]</f>
        <v>0</v>
      </c>
      <c r="GJ176" s="89" t="str">
        <f aca="false">IF(AND(Tasks[[#This Row],[_IsLeaf]]=1,Tasks[[#This Row],[_LeafProgress]]&gt;=1),IF(N(Tasks[[#This Row],[Actual Finish]])&gt;0,Tasks[[#This Row],[Actual Finish]],Tasks[[#This Row],[_ShownFcstFinish]]),"")</f>
        <v/>
      </c>
      <c r="GK176" s="42" t="n">
        <f aca="false">IF(Tasks[[#This Row],[_IsLeaf]]=1,N(Tasks[[#This Row],[Story Points]]),0)</f>
        <v>0</v>
      </c>
      <c r="GL176" s="42" t="str">
        <f aca="false">""</f>
        <v/>
      </c>
      <c r="GM176" s="88" t="b">
        <f aca="false">IF(Tasks[[#This Row],[Task Name]]="",FALSE(),AND(Tasks[[#This Row],[_IsLeaf]]=1,N(Tasks[[#This Row],[_Days]])=0))</f>
        <v>0</v>
      </c>
      <c r="GN176" s="89" t="n">
        <f aca="false">IF(Tasks[[#This Row],[Task Name]]="",0,IF(AND(Tasks[[#This Row],[_IsLeaf]]=1,NOT(Tasks[[#This Row],[_IsMilestone]]),N(Tasks[[#This Row],[Progress]])&gt;0),Tasks[[#This Row],[Start]],0))</f>
        <v>0</v>
      </c>
      <c r="GO176" s="89" t="n">
        <f aca="false">IF(Tasks[[#This Row],[_DoneFrom]]=0,0,IF(Tasks[[#This Row],[Progress]]&gt;=1,Tasks[[#This Row],[Finish]],MAX(Tasks[[#This Row],[_DoneFrom]],Tasks[[#This Row],[Start]]+ROUND((Tasks[[#This Row],[Finish]]-Tasks[[#This Row],[Start]]+1)*Tasks[[#This Row],[Progress]],0)-1)))</f>
        <v>0</v>
      </c>
      <c r="GP176" s="89" t="n">
        <f aca="false">IF(Tasks[[#This Row],[Task Name]]="",0,IF(OR(NOT(Tasks[[#This Row],[_IsLeaf]]=1),Tasks[[#This Row],[_IsMilestone]],N(Tasks[[#This Row],[Progress]])&gt;=1),0,IF(Tasks[[#This Row],[_DoneTo]]&gt;0,Tasks[[#This Row],[_DoneTo]]+1,Tasks[[#This Row],[Start]])))</f>
        <v>0</v>
      </c>
      <c r="GQ176" s="89" t="n">
        <f aca="false">IF(Tasks[[#This Row],[_RemFrom]]=0,0,Tasks[[#This Row],[Finish]])</f>
        <v>0</v>
      </c>
      <c r="GR176" s="88" t="b">
        <f aca="false">IF(Tasks[[#This Row],[Task Name]]="",FALSE(),OR(NOT(BaselineSet),N(Tasks[[#This Row],[Baseline Start]])&gt;0))</f>
        <v>0</v>
      </c>
      <c r="GS1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6" s="90" t="str">
        <f aca="false">IF(Tasks[[#This Row],[_IsLeaf]]=1,Tasks[[#This Row],[_Row]],"")</f>
        <v/>
      </c>
      <c r="GW176" s="90" t="str">
        <f aca="false">IFERROR(INDEX(Tasks[UID],SMALL(Tasks[_PickKey],Tasks[[#This Row],[_Row]]))&amp;" "&amp;INDEX(Tasks[Task Name],SMALL(Tasks[_PickKey],Tasks[[#This Row],[_Row]])),"")</f>
        <v/>
      </c>
      <c r="GX176" s="42" t="str">
        <f aca="false">IF(Tasks[[#This Row],[Task Name]]="","",IF(Tasks[[#This Row],[_IsSummary]],NETWORKDAYS.INTL(Tasks[[#This Row],[Start]],Tasks[[#This Row],[Finish]],WorkWeek,Holidays),N(Tasks[[#This Row],[_Days]])))</f>
        <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3"/>
      <c r="U177" s="23"/>
      <c r="V177" s="83"/>
      <c r="W177" s="23"/>
      <c r="X177" s="83"/>
      <c r="Y177" s="23"/>
      <c r="Z177" s="83"/>
      <c r="AA177" s="23"/>
      <c r="AB177" s="23"/>
      <c r="AC177" s="7"/>
      <c r="AD177" s="7"/>
      <c r="AE177" s="62" t="str">
        <f aca="false">IF(Tasks[[#This Row],[Task Name]]="","",IF(Tasks[[#This Row],[_IsSummary]],MIN(INDEX(Tasks[_ShownFcstStart],Tasks[[#This Row],[_Row]]+1):INDEX(Tasks[_ShownFcstStart],Tasks[[#This Row],[_Row]]+Tasks[[#This Row],[_Descendants]])),Tasks[[#This Row],[_ShownFcstStart]]))</f>
        <v/>
      </c>
      <c r="AF177" s="62"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7" s="7"/>
      <c r="AK177" s="22"/>
      <c r="AL177" s="23"/>
      <c r="AM177" s="7"/>
      <c r="AN177" s="46"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2" t="str">
        <f aca="false">IF(Tasks[[#This Row],[Task Name]]="","",IF(N(Tasks[[#This Row],[Baseline Start]])&gt;0,Tasks[[#This Row],[Baseline Start]],Tasks[[#This Row],[_CalcStart]]))</f>
        <v/>
      </c>
      <c r="AR177" s="62" t="str">
        <f aca="false">IF(Tasks[[#This Row],[Task Name]]="","",IF(N(Tasks[[#This Row],[Baseline Finish]])&gt;0,Tasks[[#This Row],[Baseline Finish]],Tasks[[#This Row],[_CalcFinish]]))</f>
        <v/>
      </c>
      <c r="AS177" s="46" t="str">
        <f aca="false">IF(Tasks[[#This Row],[Task Name]]="","",IF(Tasks[[#This Row],[Start]]&gt;=Tasks[[#This Row],[Planned Start]],NETWORKDAYS.INTL(Tasks[[#This Row],[Planned Start]],Tasks[[#This Row],[Start]],WorkWeek,Holidays)-1,1-NETWORKDAYS.INTL(Tasks[[#This Row],[Start]],Tasks[[#This Row],[Planned Start]],WorkWeek,Holidays)))</f>
        <v/>
      </c>
      <c r="AT177" s="62" t="str">
        <f aca="false">IF(Tasks[[#This Row],[Task Name]]="","",IF(Tasks[[#This Row],[_IsSummary]],MIN(INDEX(Tasks[_LeafLateStart],Tasks[[#This Row],[_Row]]+1):INDEX(Tasks[_LeafLateStart],Tasks[[#This Row],[_Row]]+Tasks[[#This Row],[_Descendants]])),Tasks[[#This Row],[_LeafLateStart]]))</f>
        <v/>
      </c>
      <c r="AU177" s="62" t="str">
        <f aca="false">IF(Tasks[[#This Row],[Task Name]]="","",IF(Tasks[[#This Row],[_IsSummary]],MAX(INDEX(Tasks[_LeafLateFinish],Tasks[[#This Row],[_Row]]+1):INDEX(Tasks[_LeafLateFinish],Tasks[[#This Row],[_Row]]+Tasks[[#This Row],[_Descendants]])),Tasks[[#This Row],[_LeafLateFinish]]))</f>
        <v/>
      </c>
      <c r="AV177" s="46"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4"/>
      <c r="BA1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5"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6"/>
      <c r="BJ177" s="22"/>
      <c r="BK177" s="46" t="str">
        <f aca="false">IF(OR(Tasks[[#This Row],[Task Name]]="",Tasks[[#This Row],[Baseline Duration]]=""),"",Tasks[[#This Row],[_SpanDays]]-N(Tasks[[#This Row],[Baseline Duration]]))</f>
        <v/>
      </c>
      <c r="BL177" s="85" t="str">
        <f aca="false">IF(OR(Tasks[[#This Row],[Task Name]]="",Tasks[[#This Row],[Baseline Work]]=""),"",Tasks[[#This Row],[Work]]-N(Tasks[[#This Row],[Baseline Work]]))</f>
        <v/>
      </c>
      <c r="BM177" s="62" t="str">
        <f aca="false">IF(Tasks[[#This Row],[Task Name]]="","",IF(OR(TakeBaseline="Yes",N(Tasks[[#This Row],[Baseline Start]])=0),Tasks[[#This Row],[Start]],Tasks[[#This Row],[Baseline Start]]))</f>
        <v/>
      </c>
      <c r="BN177" s="62"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5" t="str">
        <f aca="false">IF(Tasks[[#This Row],[Task Name]]="","",IF(OR(TakeBaseline="Yes",N(Tasks[[#This Row],[Baseline Work]])=0),Tasks[[#This Row],[Work]],Tasks[[#This Row],[Baseline Work]]))</f>
        <v/>
      </c>
      <c r="BQ177" s="7"/>
      <c r="BR177" s="7"/>
      <c r="BS177" s="22"/>
      <c r="BT177" s="87"/>
      <c r="BU177" s="42" t="str">
        <f aca="false">IF(Tasks[[#This Row],[Task Name]]="","",MAX(1,N(Tasks[[#This Row],[Level]])))</f>
        <v/>
      </c>
      <c r="BV177" s="42" t="n">
        <f aca="false">ROW()-ROW(Tasks[[#Headers],[ID]])</f>
        <v>172</v>
      </c>
      <c r="BW177" s="42" t="n">
        <f aca="false">IF(OR(Tasks[[#This Row],[Task Name]]="",Tasks[[#This Row],[_Level]]&lt;=1),0,IFERROR(LOOKUP(2,1/(Tasks[[#Headers],[_Level]]:Tasks[[#This Row],[_Level]]=Tasks[[#This Row],[_Level]]-1),ROW(Tasks[[#Headers],[_Level]]:Tasks[[#This Row],[_Level]])),0))</f>
        <v>0</v>
      </c>
      <c r="BX177" s="42" t="n">
        <f aca="false">IFERROR(N(INDEX(Tasks[_Level],Tasks[[#This Row],[_Row]]+1)),0)</f>
        <v>0</v>
      </c>
      <c r="BY177" s="88" t="b">
        <f aca="false">AND(Tasks[[#This Row],[Task Name]]&lt;&gt;"",Tasks[[#This Row],[_NextLevel]]&gt;Tasks[[#This Row],[_Level]])</f>
        <v>0</v>
      </c>
      <c r="BZ177" s="42" t="n">
        <f aca="false">IF(Tasks[[#This Row],[_IsSummary]],COUNTIF(Tasks[WBS],Tasks[[#This Row],[WBS]]&amp;".*"),0)</f>
        <v>0</v>
      </c>
      <c r="CA177" s="42" t="n">
        <f aca="false">IF(AND(Tasks[[#This Row],[Task Name]]&lt;&gt;"",NOT(Tasks[[#This Row],[_IsSummary]])),1,0)</f>
        <v>0</v>
      </c>
      <c r="CB177" s="42" t="n">
        <f aca="false">IF(N(Tasks[[#This Row],[_Pred1UID]])=0,0,IFERROR(MATCH(Tasks[[#This Row],[_Pred1UID]],Tasks[UID],0),-1))</f>
        <v>0</v>
      </c>
      <c r="CC177" s="42" t="n">
        <f aca="false">IF(N(Tasks[[#This Row],[_Pred2UID]])=0,0,IFERROR(MATCH(Tasks[[#This Row],[_Pred2UID]],Tasks[UID],0),-1))</f>
        <v>0</v>
      </c>
      <c r="CD177" s="42" t="n">
        <f aca="false">IF(N(Tasks[[#This Row],[_Pred3UID]])=0,0,IFERROR(MATCH(Tasks[[#This Row],[_Pred3UID]],Tasks[UID],0),-1))</f>
        <v>0</v>
      </c>
      <c r="CE177" s="42" t="n">
        <f aca="false">IF(N(Tasks[[#This Row],[_Pred4UID]])=0,0,IFERROR(MATCH(Tasks[[#This Row],[_Pred4UID]],Tasks[UID],0),-1))</f>
        <v>0</v>
      </c>
      <c r="CF1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7" s="89" t="n">
        <f aca="false">IF(OR(Tasks[[#This Row],[_ConstraintCode]]=2,Tasks[[#This Row],[_ConstraintCode]]=3,Tasks[[#This Row],[_ConstraintCode]]=4,Tasks[[#This Row],[_ConstraintCode]]=6),Tasks[[#This Row],[_ConstraintStart]],0)</f>
        <v>0</v>
      </c>
      <c r="CI177" s="89" t="n">
        <f aca="false">IF(OR(Tasks[[#This Row],[_ConstraintCode]]=2,Tasks[[#This Row],[_ConstraintCode]]=3,Tasks[[#This Row],[_ConstraintCode]]=5,Tasks[[#This Row],[_ConstraintCode]]=7),Tasks[[#This Row],[_ConstraintStart]],2958465)</f>
        <v>2958465</v>
      </c>
      <c r="CJ1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7" s="89" t="str">
        <f aca="false">IF(NOT(Tasks[[#This Row],[_IsLeaf]]=1),"",IF(N(Tasks[[#This Row],[_Days]])&lt;=0,Tasks[[#This Row],[_LeafCalcStart]],WORKDAY.INTL(Tasks[[#This Row],[_LeafCalcStart]],Tasks[[#This Row],[_Days]]-1,WorkWeek,Holidays)))</f>
        <v/>
      </c>
      <c r="CL1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7" s="42" t="str">
        <f aca="false">IF(Tasks[[#This Row],[_Predecessors]]="","",TRIM(MID(SUBSTITUTE(SUBSTITUTE(SUBSTITUTE(UPPER(Tasks[[#This Row],[_Predecessors]]),";",",")," ",""),",",REPT(" ",99)),1,99)))</f>
        <v/>
      </c>
      <c r="CO177" s="42" t="str">
        <f aca="false">IF(Tasks[[#This Row],[_Pred1Text]]="","",IFERROR(VALUE(LEFT(Tasks[[#This Row],[_Pred1Text]],MIN(FIND("F",Tasks[[#This Row],[_Pred1Text]]&amp;"F"),FIND("S",Tasks[[#This Row],[_Pred1Text]]&amp;"S"),FIND("+",Tasks[[#This Row],[_Pred1Text]]&amp;"+"),FIND("-",Tasks[[#This Row],[_Pred1Text]]&amp;"-"))-1)),""))</f>
        <v/>
      </c>
      <c r="CP1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7" s="42" t="str">
        <f aca="false">IF(Tasks[[#This Row],[_Pred1Text]]="","",TRIM(MID(SUBSTITUTE(SUBSTITUTE(SUBSTITUTE(UPPER(Tasks[[#This Row],[_Predecessors]]),";",",")," ",""),",",REPT(" ",99)),100,99)))</f>
        <v/>
      </c>
      <c r="CS177" s="42" t="str">
        <f aca="false">IF(Tasks[[#This Row],[_Pred2Text]]="","",IFERROR(VALUE(LEFT(Tasks[[#This Row],[_Pred2Text]],MIN(FIND("F",Tasks[[#This Row],[_Pred2Text]]&amp;"F"),FIND("S",Tasks[[#This Row],[_Pred2Text]]&amp;"S"),FIND("+",Tasks[[#This Row],[_Pred2Text]]&amp;"+"),FIND("-",Tasks[[#This Row],[_Pred2Text]]&amp;"-"))-1)),""))</f>
        <v/>
      </c>
      <c r="CT1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7" s="42" t="str">
        <f aca="false">IF(Tasks[[#This Row],[_Pred2Text]]="","",TRIM(MID(SUBSTITUTE(SUBSTITUTE(SUBSTITUTE(UPPER(Tasks[[#This Row],[_Predecessors]]),";",",")," ",""),",",REPT(" ",99)),199,99)))</f>
        <v/>
      </c>
      <c r="CW177" s="42" t="str">
        <f aca="false">IF(Tasks[[#This Row],[_Pred3Text]]="","",IFERROR(VALUE(LEFT(Tasks[[#This Row],[_Pred3Text]],MIN(FIND("F",Tasks[[#This Row],[_Pred3Text]]&amp;"F"),FIND("S",Tasks[[#This Row],[_Pred3Text]]&amp;"S"),FIND("+",Tasks[[#This Row],[_Pred3Text]]&amp;"+"),FIND("-",Tasks[[#This Row],[_Pred3Text]]&amp;"-"))-1)),""))</f>
        <v/>
      </c>
      <c r="CX1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7" s="42" t="str">
        <f aca="false">IF(Tasks[[#This Row],[_Pred3Text]]="","",TRIM(MID(SUBSTITUTE(SUBSTITUTE(SUBSTITUTE(UPPER(Tasks[[#This Row],[_Predecessors]]),";",",")," ",""),",",REPT(" ",99)),298,99)))</f>
        <v/>
      </c>
      <c r="DA177" s="42" t="str">
        <f aca="false">IF(Tasks[[#This Row],[_Pred4Text]]="","",IFERROR(VALUE(LEFT(Tasks[[#This Row],[_Pred4Text]],MIN(FIND("F",Tasks[[#This Row],[_Pred4Text]]&amp;"F"),FIND("S",Tasks[[#This Row],[_Pred4Text]]&amp;"S"),FIND("+",Tasks[[#This Row],[_Pred4Text]]&amp;"+"),FIND("-",Tasks[[#This Row],[_Pred4Text]]&amp;"-"))-1)),""))</f>
        <v/>
      </c>
      <c r="DB1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7" s="42" t="str">
        <f aca="false">IF(OR(Tasks[[#This Row],[Task Name]]="",Tasks[[#This Row],[_Resources]]=""),"",TRIM(MID(SUBSTITUTE(Tasks[[#This Row],[_Resources]],",",REPT(" ",99)),1,99)))</f>
        <v/>
      </c>
      <c r="DE177" s="42" t="str">
        <f aca="false">IF(Tasks[[#This Row],[_Res1Text]]="","",TRIM(MID(SUBSTITUTE(Tasks[[#This Row],[_Resources]],",",REPT(" ",99)),100,99)))</f>
        <v/>
      </c>
      <c r="DF177" s="42" t="str">
        <f aca="false">IF(Tasks[[#This Row],[_Res2Text]]="","",TRIM(MID(SUBSTITUTE(Tasks[[#This Row],[_Resources]],",",REPT(" ",99)),199,99)))</f>
        <v/>
      </c>
      <c r="DG177" s="42" t="str">
        <f aca="false">IF(Tasks[[#This Row],[_Res3Text]]="","",TRIM(MID(SUBSTITUTE(Tasks[[#This Row],[_Resources]],",",REPT(" ",99)),298,99)))</f>
        <v/>
      </c>
      <c r="DH177" s="42" t="n">
        <f aca="false">IF(Tasks[[#This Row],[_Res1Text]]="",0,IFERROR(MATCH(TRIM(LEFT(Tasks[[#This Row],[_Res1Text]],FIND("[",Tasks[[#This Row],[_Res1Text]]&amp;"[")-1)),res_Name,0),IFERROR(MATCH(TRIM(LEFT(Tasks[[#This Row],[_Res1Text]],FIND("[",Tasks[[#This Row],[_Res1Text]]&amp;"[")-1)),res_Initials,0),0)))</f>
        <v>0</v>
      </c>
      <c r="DI177" s="42" t="n">
        <f aca="false">IF(Tasks[[#This Row],[_Res2Text]]="",0,IFERROR(MATCH(TRIM(LEFT(Tasks[[#This Row],[_Res2Text]],FIND("[",Tasks[[#This Row],[_Res2Text]]&amp;"[")-1)),res_Name,0),IFERROR(MATCH(TRIM(LEFT(Tasks[[#This Row],[_Res2Text]],FIND("[",Tasks[[#This Row],[_Res2Text]]&amp;"[")-1)),res_Initials,0),0)))</f>
        <v>0</v>
      </c>
      <c r="DJ177" s="42" t="n">
        <f aca="false">IF(Tasks[[#This Row],[_Res3Text]]="",0,IFERROR(MATCH(TRIM(LEFT(Tasks[[#This Row],[_Res3Text]],FIND("[",Tasks[[#This Row],[_Res3Text]]&amp;"[")-1)),res_Name,0),IFERROR(MATCH(TRIM(LEFT(Tasks[[#This Row],[_Res3Text]],FIND("[",Tasks[[#This Row],[_Res3Text]]&amp;"[")-1)),res_Initials,0),0)))</f>
        <v>0</v>
      </c>
      <c r="DK177" s="42" t="n">
        <f aca="false">IF(Tasks[[#This Row],[_Res4Text]]="",0,IFERROR(MATCH(TRIM(LEFT(Tasks[[#This Row],[_Res4Text]],FIND("[",Tasks[[#This Row],[_Res4Text]]&amp;"[")-1)),res_Name,0),IFERROR(MATCH(TRIM(LEFT(Tasks[[#This Row],[_Res4Text]],FIND("[",Tasks[[#This Row],[_Res4Text]]&amp;"[")-1)),res_Initials,0),0)))</f>
        <v>0</v>
      </c>
      <c r="DL177" s="42" t="str">
        <f aca="false">IF(Tasks[[#This Row],[_Res1Text]]="","",IF(Tasks[[#This Row],[_Res1Row]]&gt;0,INDEX(res_Name,Tasks[[#This Row],[_Res1Row]]),TRIM(LEFT(Tasks[[#This Row],[_Res1Text]],FIND("[",Tasks[[#This Row],[_Res1Text]]&amp;"[")-1))))</f>
        <v/>
      </c>
      <c r="DM1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7" s="42" t="n">
        <f aca="false">IF(NOT(Tasks[[#This Row],[_IsLeaf]]=1),0,(Tasks[[#This Row],[_Resource1]]&lt;&gt;"")+(Tasks[[#This Row],[_Res2]]&lt;&gt;"")+(Tasks[[#This Row],[_Res3]]&lt;&gt;"")+(Tasks[[#This Row],[_Res4]]&lt;&gt;""))</f>
        <v>0</v>
      </c>
      <c r="DO177" s="42" t="str">
        <f aca="false">IF(Tasks[[#This Row],[_Res2Text]]="","",IF(Tasks[[#This Row],[_Res2Row]]&gt;0,INDEX(res_Name,Tasks[[#This Row],[_Res2Row]]),TRIM(LEFT(Tasks[[#This Row],[_Res2Text]],FIND("[",Tasks[[#This Row],[_Res2Text]]&amp;"[")-1))))</f>
        <v/>
      </c>
      <c r="DP1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7" s="42" t="n">
        <f aca="false">IF(OR(NOT(Tasks[[#This Row],[_IsLeaf]]=1),Tasks[[#This Row],[_Res2Row]]=0),0,N(Tasks[[#This Row],[_Days]])*HoursPerDay*IF(Tasks[[#This Row],[_Res2Units]]="",DefaultUnits,Tasks[[#This Row],[_Res2Units]]))</f>
        <v>0</v>
      </c>
      <c r="DR177" s="42" t="n">
        <f aca="false">IF(AND(AND(Tasks[[#This Row],[_IsLeaf]]=1,Tasks[[#This Row],[_LeafTotalWork]]&gt;0),Tasks[[#This Row],[_Res2Work]]&gt;0),Tasks[[#This Row],[_Res2Work]]/(Tasks[[#This Row],[_FinishWorkday]]-Tasks[[#This Row],[_StartWorkday]]+1),0)</f>
        <v>0</v>
      </c>
      <c r="DS177" s="42" t="n">
        <f aca="false">Tasks[[#This Row],[_Res2WorkPerWD]]*MAX(0,Tasks[[#This Row],[_StartWorkday]]-1)</f>
        <v>0</v>
      </c>
      <c r="DT177" s="42" t="n">
        <f aca="false">Tasks[[#This Row],[_Res2Work]]*Tasks[[#This Row],[_LeafProgress]]</f>
        <v>0</v>
      </c>
      <c r="DU177" s="42" t="str">
        <f aca="false">IF(Tasks[[#This Row],[_Res3Text]]="","",IF(Tasks[[#This Row],[_Res3Row]]&gt;0,INDEX(res_Name,Tasks[[#This Row],[_Res3Row]]),TRIM(LEFT(Tasks[[#This Row],[_Res3Text]],FIND("[",Tasks[[#This Row],[_Res3Text]]&amp;"[")-1))))</f>
        <v/>
      </c>
      <c r="DV1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7" s="42" t="n">
        <f aca="false">IF(OR(NOT(Tasks[[#This Row],[_IsLeaf]]=1),Tasks[[#This Row],[_Res3Row]]=0),0,N(Tasks[[#This Row],[_Days]])*HoursPerDay*IF(Tasks[[#This Row],[_Res3Units]]="",DefaultUnits,Tasks[[#This Row],[_Res3Units]]))</f>
        <v>0</v>
      </c>
      <c r="DX177" s="42" t="n">
        <f aca="false">IF(AND(AND(Tasks[[#This Row],[_IsLeaf]]=1,Tasks[[#This Row],[_LeafTotalWork]]&gt;0),Tasks[[#This Row],[_Res3Work]]&gt;0),Tasks[[#This Row],[_Res3Work]]/(Tasks[[#This Row],[_FinishWorkday]]-Tasks[[#This Row],[_StartWorkday]]+1),0)</f>
        <v>0</v>
      </c>
      <c r="DY177" s="42" t="n">
        <f aca="false">Tasks[[#This Row],[_Res3WorkPerWD]]*MAX(0,Tasks[[#This Row],[_StartWorkday]]-1)</f>
        <v>0</v>
      </c>
      <c r="DZ177" s="42" t="n">
        <f aca="false">Tasks[[#This Row],[_Res3Work]]*Tasks[[#This Row],[_LeafProgress]]</f>
        <v>0</v>
      </c>
      <c r="EA177" s="42" t="str">
        <f aca="false">IF(Tasks[[#This Row],[_Res4Text]]="","",IF(Tasks[[#This Row],[_Res4Row]]&gt;0,INDEX(res_Name,Tasks[[#This Row],[_Res4Row]]),TRIM(LEFT(Tasks[[#This Row],[_Res4Text]],FIND("[",Tasks[[#This Row],[_Res4Text]]&amp;"[")-1))))</f>
        <v/>
      </c>
      <c r="EB1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7" s="42" t="n">
        <f aca="false">IF(OR(NOT(Tasks[[#This Row],[_IsLeaf]]=1),Tasks[[#This Row],[_Res4Row]]=0),0,N(Tasks[[#This Row],[_Days]])*HoursPerDay*IF(Tasks[[#This Row],[_Res4Units]]="",DefaultUnits,Tasks[[#This Row],[_Res4Units]]))</f>
        <v>0</v>
      </c>
      <c r="ED177" s="42" t="n">
        <f aca="false">IF(AND(AND(Tasks[[#This Row],[_IsLeaf]]=1,Tasks[[#This Row],[_LeafTotalWork]]&gt;0),Tasks[[#This Row],[_Res4Work]]&gt;0),Tasks[[#This Row],[_Res4Work]]/(Tasks[[#This Row],[_FinishWorkday]]-Tasks[[#This Row],[_StartWorkday]]+1),0)</f>
        <v>0</v>
      </c>
      <c r="EE177" s="42" t="n">
        <f aca="false">Tasks[[#This Row],[_Res4WorkPerWD]]*MAX(0,Tasks[[#This Row],[_StartWorkday]]-1)</f>
        <v>0</v>
      </c>
      <c r="EF177" s="42" t="n">
        <f aca="false">Tasks[[#This Row],[_Res4Work]]*Tasks[[#This Row],[_LeafProgress]]</f>
        <v>0</v>
      </c>
      <c r="EG177" s="42" t="n">
        <f aca="false">IF(ISNUMBER(Tasks[[#This Row],[% Complete]]),Tasks[[#This Row],[% Complete]],IF(Tasks[[#This Row],[Stage]]="",0,IFERROR(INDEX(stg_Pct,MATCH(Tasks[[#This Row],[Stage]],stg_Name,0)),0)))</f>
        <v>0</v>
      </c>
      <c r="EH177" s="42" t="n">
        <f aca="false">IF(NOT(Tasks[[#This Row],[_IsLeaf]]=1),0,IF(N(Tasks[[#This Row],[Actual Finish]])&gt;0,1,MIN(1,Tasks[[#This Row],[_Pct]])))</f>
        <v>0</v>
      </c>
      <c r="EI177" s="42" t="n">
        <f aca="false">IF(OR(NOT(Tasks[[#This Row],[_IsLeaf]]=1),Tasks[[#This Row],[_Res1Row]]=0),0,N(Tasks[[#This Row],[_Days]])*HoursPerDay*IF(Tasks[[#This Row],[_Units1]]="",DefaultUnits,Tasks[[#This Row],[_Units1]]))</f>
        <v>0</v>
      </c>
      <c r="EJ177" s="42" t="n">
        <f aca="false">Tasks[[#This Row],[_LeafWork]]+Tasks[[#This Row],[_Res2Work]]+Tasks[[#This Row],[_Res3Work]]+Tasks[[#This Row],[_Res4Work]]</f>
        <v>0</v>
      </c>
      <c r="EK1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7" s="42" t="n">
        <f aca="false">IF(NOT(Tasks[[#This Row],[_IsLeaf]]=1),0,MAX(_xlfn.MAXIFS(Tasks[_Row],Tasks[_Pred1UID],Tasks[[#This Row],[UID]]),_xlfn.MAXIFS(Tasks[_Row],Tasks[_Pred2UID],Tasks[[#This Row],[UID]]),_xlfn.MAXIFS(Tasks[_Row],Tasks[_Pred3UID],Tasks[[#This Row],[UID]]),_xlfn.MAXIFS(Tasks[_Row],Tasks[_Pred4UID],Tasks[[#This Row],[UID]])))</f>
        <v>0</v>
      </c>
      <c r="ET1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7" s="89" t="str">
        <f aca="false">IF(NOT(Tasks[[#This Row],[_IsLeaf]]=1),"",IF(N(Tasks[[#This Row],[_Days]])&lt;=0,Tasks[[#This Row],[_LeafLateFinish]],WORKDAY.INTL(Tasks[[#This Row],[_LeafLateFinish]],-(Tasks[[#This Row],[_Days]]-1),WorkWeek,Holidays)))</f>
        <v/>
      </c>
      <c r="EW1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7" s="88" t="b">
        <f aca="false">AND(Tasks[[#This Row],[_IsLeaf]]=1,Tasks[[#This Row],[_LeafProgress]]&lt;1,N(Tasks[[#This Row],[_LeafTotalSlack]])&lt;=CriticalSlackDays)</f>
        <v>0</v>
      </c>
      <c r="EY177" s="42" t="n">
        <f aca="false">IF(AND(Tasks[[#This Row],[_IsLeaf]]=1,Tasks[[#This Row],[_ConstraintCode]]=1,Tasks[[#This Row],[Mode]]&lt;&gt;"Manual",N(Tasks[[#This Row],[Actual Start]])=0),MAX(0,N(Tasks[[#This Row],[Free Slack]])),0)</f>
        <v>0</v>
      </c>
      <c r="EZ177" s="89" t="str">
        <f aca="false">IF(NOT(Tasks[[#This Row],[_IsLeaf]]=1),"",IF(Tasks[[#This Row],[_AlapShift]]=0,Tasks[[#This Row],[_LeafCalcStart]],WORKDAY.INTL(Tasks[[#This Row],[_LeafCalcStart]],Tasks[[#This Row],[_AlapShift]],WorkWeek,Holidays)))</f>
        <v/>
      </c>
      <c r="FA177" s="89" t="str">
        <f aca="false">IF(NOT(Tasks[[#This Row],[_IsLeaf]]=1),"",IF(Tasks[[#This Row],[_AlapShift]]=0,Tasks[[#This Row],[_LeafCalcFinish]],WORKDAY.INTL(Tasks[[#This Row],[_LeafCalcFinish]],Tasks[[#This Row],[_AlapShift]],WorkWeek,Holidays)))</f>
        <v/>
      </c>
      <c r="FB177" s="89" t="str">
        <f aca="false">IF(NOT(Tasks[[#This Row],[_IsLeaf]]=1),"",IF(Tasks[[#This Row],[_AlapShift]]=0,Tasks[[#This Row],[_LeafFcstStart]],WORKDAY.INTL(Tasks[[#This Row],[_LeafFcstStart]],Tasks[[#This Row],[_AlapShift]],WorkWeek,Holidays)))</f>
        <v/>
      </c>
      <c r="FC177" s="89" t="str">
        <f aca="false">IF(NOT(Tasks[[#This Row],[_IsLeaf]]=1),"",IF(Tasks[[#This Row],[_AlapShift]]=0,Tasks[[#This Row],[_LeafFcstFinish]],WORKDAY.INTL(Tasks[[#This Row],[_LeafFcstFinish]],Tasks[[#This Row],[_AlapShift]],WorkWeek,Holidays)))</f>
        <v/>
      </c>
      <c r="FD177" s="89" t="str">
        <f aca="false">IF(Tasks[[#This Row],[Task Name]]="","",IF(Tasks[[#This Row],[_IsSummary]],MIN(INDEX(Tasks[_ShownCalcStart],Tasks[[#This Row],[_Row]]+1):INDEX(Tasks[_ShownCalcStart],Tasks[[#This Row],[_Row]]+Tasks[[#This Row],[_Descendants]])),Tasks[[#This Row],[_ShownCalcStart]]))</f>
        <v/>
      </c>
      <c r="FE177" s="89" t="str">
        <f aca="false">IF(Tasks[[#This Row],[Task Name]]="","",IF(Tasks[[#This Row],[_IsSummary]],MAX(INDEX(Tasks[_ShownCalcFinish],Tasks[[#This Row],[_Row]]+1):INDEX(Tasks[_ShownCalcFinish],Tasks[[#This Row],[_Row]]+Tasks[[#This Row],[_Descendants]])),Tasks[[#This Row],[_ShownCalcFinish]]))</f>
        <v/>
      </c>
      <c r="FF1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7" s="42" t="n">
        <f aca="false">IF(AND(Tasks[[#This Row],[_IsLeaf]]=1,Tasks[[#This Row],[_LeafTotalWork]]&gt;0),NETWORKDAYS.INTL(ProjectStart,Tasks[[#This Row],[_ShownFcstStart]],WorkWeek,Holidays),0)</f>
        <v>0</v>
      </c>
      <c r="FS177" s="42" t="n">
        <f aca="false">IF(AND(Tasks[[#This Row],[_IsLeaf]]=1,Tasks[[#This Row],[_LeafTotalWork]]&gt;0),MAX(Tasks[[#This Row],[_StartWorkday]],NETWORKDAYS.INTL(ProjectStart,Tasks[[#This Row],[_ShownFcstFinish]],WorkWeek,Holidays)),0)</f>
        <v>0</v>
      </c>
      <c r="FT177" s="42" t="n">
        <f aca="false">IF(AND(Tasks[[#This Row],[_IsLeaf]]=1,Tasks[[#This Row],[_LeafTotalWork]]&gt;0),Tasks[[#This Row],[_LeafWork]]/(Tasks[[#This Row],[_FinishWorkday]]-Tasks[[#This Row],[_StartWorkday]]+1),0)</f>
        <v>0</v>
      </c>
      <c r="FU177" s="42" t="n">
        <f aca="false">Tasks[[#This Row],[_WorkPerWorkday]]*(Tasks[[#This Row],[_StartWorkday]]-1)</f>
        <v>-0</v>
      </c>
      <c r="FV177" s="42" t="n">
        <f aca="false">IF(Tasks[[#This Row],[_IsLeaf]]=1,MAX(N(Tasks[[#This Row],[_Days]]),0.1),0)</f>
        <v>0</v>
      </c>
      <c r="FW177" s="42" t="n">
        <f aca="false">Tasks[[#This Row],[_WeightDur]]*Tasks[[#This Row],[_LeafProgress]]</f>
        <v>0</v>
      </c>
      <c r="FX177" s="42" t="n">
        <f aca="false">Tasks[[#This Row],[_WeightDur]]*Tasks[[#This Row],[_PlannedPct]]</f>
        <v>0</v>
      </c>
      <c r="FY1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7" s="42" t="str">
        <f aca="false">IF(AND(Tasks[[#This Row],[_IsLeaf]]=1,N(Tasks[[#This Row],[_Days]])=0,Tasks[[#This Row],[_LeafProgress]]&lt;1),Tasks[[#This Row],[_ShownFcstFinish]]+Tasks[[#This Row],[_Row]]/100000,"")</f>
        <v/>
      </c>
      <c r="GA1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7" s="42" t="str">
        <f aca="false">IF(Tasks[[#This Row],[Task Name]]="","",LEFT(Tasks[[#This Row],[WBS]],FIND(".",Tasks[[#This Row],[WBS]]&amp;".")-1))</f>
        <v/>
      </c>
      <c r="GC177" s="42" t="str">
        <f aca="false">IF(AND(Tasks[[#This Row],[Task Name]]&lt;&gt;"",Tasks[[#This Row],[_Level]]=1),Tasks[[#This Row],[_Row]],"")</f>
        <v/>
      </c>
      <c r="GD177" s="42" t="str">
        <f aca="false">IF(AND(Tasks[[#This Row],[_IsLeaf]]=1,N(Tasks[[#This Row],[_Days]])=0),Tasks[[#This Row],[Planned Finish]]+Tasks[[#This Row],[_Row]]/100000,"")</f>
        <v/>
      </c>
      <c r="GE177" s="42" t="str">
        <f aca="false">IF(AND(Tasks[[#This Row],[_IsLeaf]]=1,Tasks[[#This Row],[_LeafProgress]]&lt;1,OR(N(Tasks[[#This Row],[Finish Var]])&gt;0,Tasks[[#This Row],[Status]]="Late Start")),MAX(0,Tasks[[#This Row],[Finish Var]])+1-Tasks[[#This Row],[_Row]]/1000000,"")</f>
        <v/>
      </c>
      <c r="GF177" s="42" t="str">
        <f aca="false">IF(AND(Tasks[[#This Row],[_IsLeaf]]=1,N(Tasks[[#This Row],[Actual Start]])=0,Tasks[[#This Row],[_ShownFcstStart]]&gt;=StatusDate,Tasks[[#This Row],[_ShownFcstStart]]&lt;=LookaheadEnd),Tasks[[#This Row],[_ShownFcstStart]]+Tasks[[#This Row],[_Row]]/100000,"")</f>
        <v/>
      </c>
      <c r="GG177" s="42" t="str">
        <f aca="false">IF(AND(Tasks[[#This Row],[_IsLeaf]]=1,Tasks[[#This Row],[_LeafProgress]]&lt;1,Tasks[[#This Row],[_ShownFcstFinish]]&gt;=StatusDate,Tasks[[#This Row],[_ShownFcstFinish]]&lt;=LookaheadEnd),Tasks[[#This Row],[_ShownFcstFinish]]+Tasks[[#This Row],[_Row]]/100000,"")</f>
        <v/>
      </c>
      <c r="GH177" s="42" t="str">
        <f aca="false">IF(Tasks[[#This Row],[_LeafCritical]],Tasks[[#This Row],[_ShownFcstStart]]+Tasks[[#This Row],[_Row]]/100000,"")</f>
        <v/>
      </c>
      <c r="GI177" s="42" t="n">
        <f aca="false">Tasks[[#This Row],[_LeafWork]]*Tasks[[#This Row],[_LeafProgress]]</f>
        <v>0</v>
      </c>
      <c r="GJ177" s="89" t="str">
        <f aca="false">IF(AND(Tasks[[#This Row],[_IsLeaf]]=1,Tasks[[#This Row],[_LeafProgress]]&gt;=1),IF(N(Tasks[[#This Row],[Actual Finish]])&gt;0,Tasks[[#This Row],[Actual Finish]],Tasks[[#This Row],[_ShownFcstFinish]]),"")</f>
        <v/>
      </c>
      <c r="GK177" s="42" t="n">
        <f aca="false">IF(Tasks[[#This Row],[_IsLeaf]]=1,N(Tasks[[#This Row],[Story Points]]),0)</f>
        <v>0</v>
      </c>
      <c r="GL177" s="42" t="str">
        <f aca="false">""</f>
        <v/>
      </c>
      <c r="GM177" s="88" t="b">
        <f aca="false">IF(Tasks[[#This Row],[Task Name]]="",FALSE(),AND(Tasks[[#This Row],[_IsLeaf]]=1,N(Tasks[[#This Row],[_Days]])=0))</f>
        <v>0</v>
      </c>
      <c r="GN177" s="89" t="n">
        <f aca="false">IF(Tasks[[#This Row],[Task Name]]="",0,IF(AND(Tasks[[#This Row],[_IsLeaf]]=1,NOT(Tasks[[#This Row],[_IsMilestone]]),N(Tasks[[#This Row],[Progress]])&gt;0),Tasks[[#This Row],[Start]],0))</f>
        <v>0</v>
      </c>
      <c r="GO177" s="89" t="n">
        <f aca="false">IF(Tasks[[#This Row],[_DoneFrom]]=0,0,IF(Tasks[[#This Row],[Progress]]&gt;=1,Tasks[[#This Row],[Finish]],MAX(Tasks[[#This Row],[_DoneFrom]],Tasks[[#This Row],[Start]]+ROUND((Tasks[[#This Row],[Finish]]-Tasks[[#This Row],[Start]]+1)*Tasks[[#This Row],[Progress]],0)-1)))</f>
        <v>0</v>
      </c>
      <c r="GP177" s="89" t="n">
        <f aca="false">IF(Tasks[[#This Row],[Task Name]]="",0,IF(OR(NOT(Tasks[[#This Row],[_IsLeaf]]=1),Tasks[[#This Row],[_IsMilestone]],N(Tasks[[#This Row],[Progress]])&gt;=1),0,IF(Tasks[[#This Row],[_DoneTo]]&gt;0,Tasks[[#This Row],[_DoneTo]]+1,Tasks[[#This Row],[Start]])))</f>
        <v>0</v>
      </c>
      <c r="GQ177" s="89" t="n">
        <f aca="false">IF(Tasks[[#This Row],[_RemFrom]]=0,0,Tasks[[#This Row],[Finish]])</f>
        <v>0</v>
      </c>
      <c r="GR177" s="88" t="b">
        <f aca="false">IF(Tasks[[#This Row],[Task Name]]="",FALSE(),OR(NOT(BaselineSet),N(Tasks[[#This Row],[Baseline Start]])&gt;0))</f>
        <v>0</v>
      </c>
      <c r="GS1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7" s="90" t="str">
        <f aca="false">IF(Tasks[[#This Row],[_IsLeaf]]=1,Tasks[[#This Row],[_Row]],"")</f>
        <v/>
      </c>
      <c r="GW177" s="90" t="str">
        <f aca="false">IFERROR(INDEX(Tasks[UID],SMALL(Tasks[_PickKey],Tasks[[#This Row],[_Row]]))&amp;" "&amp;INDEX(Tasks[Task Name],SMALL(Tasks[_PickKey],Tasks[[#This Row],[_Row]])),"")</f>
        <v/>
      </c>
      <c r="GX177" s="42" t="str">
        <f aca="false">IF(Tasks[[#This Row],[Task Name]]="","",IF(Tasks[[#This Row],[_IsSummary]],NETWORKDAYS.INTL(Tasks[[#This Row],[Start]],Tasks[[#This Row],[Finish]],WorkWeek,Holidays),N(Tasks[[#This Row],[_Days]])))</f>
        <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3"/>
      <c r="U178" s="23"/>
      <c r="V178" s="83"/>
      <c r="W178" s="23"/>
      <c r="X178" s="83"/>
      <c r="Y178" s="23"/>
      <c r="Z178" s="83"/>
      <c r="AA178" s="23"/>
      <c r="AB178" s="23"/>
      <c r="AC178" s="7"/>
      <c r="AD178" s="7"/>
      <c r="AE178" s="62" t="str">
        <f aca="false">IF(Tasks[[#This Row],[Task Name]]="","",IF(Tasks[[#This Row],[_IsSummary]],MIN(INDEX(Tasks[_ShownFcstStart],Tasks[[#This Row],[_Row]]+1):INDEX(Tasks[_ShownFcstStart],Tasks[[#This Row],[_Row]]+Tasks[[#This Row],[_Descendants]])),Tasks[[#This Row],[_ShownFcstStart]]))</f>
        <v/>
      </c>
      <c r="AF178" s="62"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8" s="7"/>
      <c r="AK178" s="22"/>
      <c r="AL178" s="23"/>
      <c r="AM178" s="7"/>
      <c r="AN178" s="46"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2" t="str">
        <f aca="false">IF(Tasks[[#This Row],[Task Name]]="","",IF(N(Tasks[[#This Row],[Baseline Start]])&gt;0,Tasks[[#This Row],[Baseline Start]],Tasks[[#This Row],[_CalcStart]]))</f>
        <v/>
      </c>
      <c r="AR178" s="62" t="str">
        <f aca="false">IF(Tasks[[#This Row],[Task Name]]="","",IF(N(Tasks[[#This Row],[Baseline Finish]])&gt;0,Tasks[[#This Row],[Baseline Finish]],Tasks[[#This Row],[_CalcFinish]]))</f>
        <v/>
      </c>
      <c r="AS178" s="46" t="str">
        <f aca="false">IF(Tasks[[#This Row],[Task Name]]="","",IF(Tasks[[#This Row],[Start]]&gt;=Tasks[[#This Row],[Planned Start]],NETWORKDAYS.INTL(Tasks[[#This Row],[Planned Start]],Tasks[[#This Row],[Start]],WorkWeek,Holidays)-1,1-NETWORKDAYS.INTL(Tasks[[#This Row],[Start]],Tasks[[#This Row],[Planned Start]],WorkWeek,Holidays)))</f>
        <v/>
      </c>
      <c r="AT178" s="62" t="str">
        <f aca="false">IF(Tasks[[#This Row],[Task Name]]="","",IF(Tasks[[#This Row],[_IsSummary]],MIN(INDEX(Tasks[_LeafLateStart],Tasks[[#This Row],[_Row]]+1):INDEX(Tasks[_LeafLateStart],Tasks[[#This Row],[_Row]]+Tasks[[#This Row],[_Descendants]])),Tasks[[#This Row],[_LeafLateStart]]))</f>
        <v/>
      </c>
      <c r="AU178" s="62" t="str">
        <f aca="false">IF(Tasks[[#This Row],[Task Name]]="","",IF(Tasks[[#This Row],[_IsSummary]],MAX(INDEX(Tasks[_LeafLateFinish],Tasks[[#This Row],[_Row]]+1):INDEX(Tasks[_LeafLateFinish],Tasks[[#This Row],[_Row]]+Tasks[[#This Row],[_Descendants]])),Tasks[[#This Row],[_LeafLateFinish]]))</f>
        <v/>
      </c>
      <c r="AV178" s="46"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4"/>
      <c r="BA1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5"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6"/>
      <c r="BJ178" s="22"/>
      <c r="BK178" s="46" t="str">
        <f aca="false">IF(OR(Tasks[[#This Row],[Task Name]]="",Tasks[[#This Row],[Baseline Duration]]=""),"",Tasks[[#This Row],[_SpanDays]]-N(Tasks[[#This Row],[Baseline Duration]]))</f>
        <v/>
      </c>
      <c r="BL178" s="85" t="str">
        <f aca="false">IF(OR(Tasks[[#This Row],[Task Name]]="",Tasks[[#This Row],[Baseline Work]]=""),"",Tasks[[#This Row],[Work]]-N(Tasks[[#This Row],[Baseline Work]]))</f>
        <v/>
      </c>
      <c r="BM178" s="62" t="str">
        <f aca="false">IF(Tasks[[#This Row],[Task Name]]="","",IF(OR(TakeBaseline="Yes",N(Tasks[[#This Row],[Baseline Start]])=0),Tasks[[#This Row],[Start]],Tasks[[#This Row],[Baseline Start]]))</f>
        <v/>
      </c>
      <c r="BN178" s="62"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5" t="str">
        <f aca="false">IF(Tasks[[#This Row],[Task Name]]="","",IF(OR(TakeBaseline="Yes",N(Tasks[[#This Row],[Baseline Work]])=0),Tasks[[#This Row],[Work]],Tasks[[#This Row],[Baseline Work]]))</f>
        <v/>
      </c>
      <c r="BQ178" s="7"/>
      <c r="BR178" s="7"/>
      <c r="BS178" s="22"/>
      <c r="BT178" s="87"/>
      <c r="BU178" s="42" t="str">
        <f aca="false">IF(Tasks[[#This Row],[Task Name]]="","",MAX(1,N(Tasks[[#This Row],[Level]])))</f>
        <v/>
      </c>
      <c r="BV178" s="42" t="n">
        <f aca="false">ROW()-ROW(Tasks[[#Headers],[ID]])</f>
        <v>173</v>
      </c>
      <c r="BW178" s="42" t="n">
        <f aca="false">IF(OR(Tasks[[#This Row],[Task Name]]="",Tasks[[#This Row],[_Level]]&lt;=1),0,IFERROR(LOOKUP(2,1/(Tasks[[#Headers],[_Level]]:Tasks[[#This Row],[_Level]]=Tasks[[#This Row],[_Level]]-1),ROW(Tasks[[#Headers],[_Level]]:Tasks[[#This Row],[_Level]])),0))</f>
        <v>0</v>
      </c>
      <c r="BX178" s="42" t="n">
        <f aca="false">IFERROR(N(INDEX(Tasks[_Level],Tasks[[#This Row],[_Row]]+1)),0)</f>
        <v>0</v>
      </c>
      <c r="BY178" s="88" t="b">
        <f aca="false">AND(Tasks[[#This Row],[Task Name]]&lt;&gt;"",Tasks[[#This Row],[_NextLevel]]&gt;Tasks[[#This Row],[_Level]])</f>
        <v>0</v>
      </c>
      <c r="BZ178" s="42" t="n">
        <f aca="false">IF(Tasks[[#This Row],[_IsSummary]],COUNTIF(Tasks[WBS],Tasks[[#This Row],[WBS]]&amp;".*"),0)</f>
        <v>0</v>
      </c>
      <c r="CA178" s="42" t="n">
        <f aca="false">IF(AND(Tasks[[#This Row],[Task Name]]&lt;&gt;"",NOT(Tasks[[#This Row],[_IsSummary]])),1,0)</f>
        <v>0</v>
      </c>
      <c r="CB178" s="42" t="n">
        <f aca="false">IF(N(Tasks[[#This Row],[_Pred1UID]])=0,0,IFERROR(MATCH(Tasks[[#This Row],[_Pred1UID]],Tasks[UID],0),-1))</f>
        <v>0</v>
      </c>
      <c r="CC178" s="42" t="n">
        <f aca="false">IF(N(Tasks[[#This Row],[_Pred2UID]])=0,0,IFERROR(MATCH(Tasks[[#This Row],[_Pred2UID]],Tasks[UID],0),-1))</f>
        <v>0</v>
      </c>
      <c r="CD178" s="42" t="n">
        <f aca="false">IF(N(Tasks[[#This Row],[_Pred3UID]])=0,0,IFERROR(MATCH(Tasks[[#This Row],[_Pred3UID]],Tasks[UID],0),-1))</f>
        <v>0</v>
      </c>
      <c r="CE178" s="42" t="n">
        <f aca="false">IF(N(Tasks[[#This Row],[_Pred4UID]])=0,0,IFERROR(MATCH(Tasks[[#This Row],[_Pred4UID]],Tasks[UID],0),-1))</f>
        <v>0</v>
      </c>
      <c r="CF1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8" s="89" t="n">
        <f aca="false">IF(OR(Tasks[[#This Row],[_ConstraintCode]]=2,Tasks[[#This Row],[_ConstraintCode]]=3,Tasks[[#This Row],[_ConstraintCode]]=4,Tasks[[#This Row],[_ConstraintCode]]=6),Tasks[[#This Row],[_ConstraintStart]],0)</f>
        <v>0</v>
      </c>
      <c r="CI178" s="89" t="n">
        <f aca="false">IF(OR(Tasks[[#This Row],[_ConstraintCode]]=2,Tasks[[#This Row],[_ConstraintCode]]=3,Tasks[[#This Row],[_ConstraintCode]]=5,Tasks[[#This Row],[_ConstraintCode]]=7),Tasks[[#This Row],[_ConstraintStart]],2958465)</f>
        <v>2958465</v>
      </c>
      <c r="CJ1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8" s="89" t="str">
        <f aca="false">IF(NOT(Tasks[[#This Row],[_IsLeaf]]=1),"",IF(N(Tasks[[#This Row],[_Days]])&lt;=0,Tasks[[#This Row],[_LeafCalcStart]],WORKDAY.INTL(Tasks[[#This Row],[_LeafCalcStart]],Tasks[[#This Row],[_Days]]-1,WorkWeek,Holidays)))</f>
        <v/>
      </c>
      <c r="CL1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8" s="42" t="str">
        <f aca="false">IF(Tasks[[#This Row],[_Predecessors]]="","",TRIM(MID(SUBSTITUTE(SUBSTITUTE(SUBSTITUTE(UPPER(Tasks[[#This Row],[_Predecessors]]),";",",")," ",""),",",REPT(" ",99)),1,99)))</f>
        <v/>
      </c>
      <c r="CO178" s="42" t="str">
        <f aca="false">IF(Tasks[[#This Row],[_Pred1Text]]="","",IFERROR(VALUE(LEFT(Tasks[[#This Row],[_Pred1Text]],MIN(FIND("F",Tasks[[#This Row],[_Pred1Text]]&amp;"F"),FIND("S",Tasks[[#This Row],[_Pred1Text]]&amp;"S"),FIND("+",Tasks[[#This Row],[_Pred1Text]]&amp;"+"),FIND("-",Tasks[[#This Row],[_Pred1Text]]&amp;"-"))-1)),""))</f>
        <v/>
      </c>
      <c r="CP1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8" s="42" t="str">
        <f aca="false">IF(Tasks[[#This Row],[_Pred1Text]]="","",TRIM(MID(SUBSTITUTE(SUBSTITUTE(SUBSTITUTE(UPPER(Tasks[[#This Row],[_Predecessors]]),";",",")," ",""),",",REPT(" ",99)),100,99)))</f>
        <v/>
      </c>
      <c r="CS178" s="42" t="str">
        <f aca="false">IF(Tasks[[#This Row],[_Pred2Text]]="","",IFERROR(VALUE(LEFT(Tasks[[#This Row],[_Pred2Text]],MIN(FIND("F",Tasks[[#This Row],[_Pred2Text]]&amp;"F"),FIND("S",Tasks[[#This Row],[_Pred2Text]]&amp;"S"),FIND("+",Tasks[[#This Row],[_Pred2Text]]&amp;"+"),FIND("-",Tasks[[#This Row],[_Pred2Text]]&amp;"-"))-1)),""))</f>
        <v/>
      </c>
      <c r="CT1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8" s="42" t="str">
        <f aca="false">IF(Tasks[[#This Row],[_Pred2Text]]="","",TRIM(MID(SUBSTITUTE(SUBSTITUTE(SUBSTITUTE(UPPER(Tasks[[#This Row],[_Predecessors]]),";",",")," ",""),",",REPT(" ",99)),199,99)))</f>
        <v/>
      </c>
      <c r="CW178" s="42" t="str">
        <f aca="false">IF(Tasks[[#This Row],[_Pred3Text]]="","",IFERROR(VALUE(LEFT(Tasks[[#This Row],[_Pred3Text]],MIN(FIND("F",Tasks[[#This Row],[_Pred3Text]]&amp;"F"),FIND("S",Tasks[[#This Row],[_Pred3Text]]&amp;"S"),FIND("+",Tasks[[#This Row],[_Pred3Text]]&amp;"+"),FIND("-",Tasks[[#This Row],[_Pred3Text]]&amp;"-"))-1)),""))</f>
        <v/>
      </c>
      <c r="CX1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8" s="42" t="str">
        <f aca="false">IF(Tasks[[#This Row],[_Pred3Text]]="","",TRIM(MID(SUBSTITUTE(SUBSTITUTE(SUBSTITUTE(UPPER(Tasks[[#This Row],[_Predecessors]]),";",",")," ",""),",",REPT(" ",99)),298,99)))</f>
        <v/>
      </c>
      <c r="DA178" s="42" t="str">
        <f aca="false">IF(Tasks[[#This Row],[_Pred4Text]]="","",IFERROR(VALUE(LEFT(Tasks[[#This Row],[_Pred4Text]],MIN(FIND("F",Tasks[[#This Row],[_Pred4Text]]&amp;"F"),FIND("S",Tasks[[#This Row],[_Pred4Text]]&amp;"S"),FIND("+",Tasks[[#This Row],[_Pred4Text]]&amp;"+"),FIND("-",Tasks[[#This Row],[_Pred4Text]]&amp;"-"))-1)),""))</f>
        <v/>
      </c>
      <c r="DB1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8" s="42" t="str">
        <f aca="false">IF(OR(Tasks[[#This Row],[Task Name]]="",Tasks[[#This Row],[_Resources]]=""),"",TRIM(MID(SUBSTITUTE(Tasks[[#This Row],[_Resources]],",",REPT(" ",99)),1,99)))</f>
        <v/>
      </c>
      <c r="DE178" s="42" t="str">
        <f aca="false">IF(Tasks[[#This Row],[_Res1Text]]="","",TRIM(MID(SUBSTITUTE(Tasks[[#This Row],[_Resources]],",",REPT(" ",99)),100,99)))</f>
        <v/>
      </c>
      <c r="DF178" s="42" t="str">
        <f aca="false">IF(Tasks[[#This Row],[_Res2Text]]="","",TRIM(MID(SUBSTITUTE(Tasks[[#This Row],[_Resources]],",",REPT(" ",99)),199,99)))</f>
        <v/>
      </c>
      <c r="DG178" s="42" t="str">
        <f aca="false">IF(Tasks[[#This Row],[_Res3Text]]="","",TRIM(MID(SUBSTITUTE(Tasks[[#This Row],[_Resources]],",",REPT(" ",99)),298,99)))</f>
        <v/>
      </c>
      <c r="DH178" s="42" t="n">
        <f aca="false">IF(Tasks[[#This Row],[_Res1Text]]="",0,IFERROR(MATCH(TRIM(LEFT(Tasks[[#This Row],[_Res1Text]],FIND("[",Tasks[[#This Row],[_Res1Text]]&amp;"[")-1)),res_Name,0),IFERROR(MATCH(TRIM(LEFT(Tasks[[#This Row],[_Res1Text]],FIND("[",Tasks[[#This Row],[_Res1Text]]&amp;"[")-1)),res_Initials,0),0)))</f>
        <v>0</v>
      </c>
      <c r="DI178" s="42" t="n">
        <f aca="false">IF(Tasks[[#This Row],[_Res2Text]]="",0,IFERROR(MATCH(TRIM(LEFT(Tasks[[#This Row],[_Res2Text]],FIND("[",Tasks[[#This Row],[_Res2Text]]&amp;"[")-1)),res_Name,0),IFERROR(MATCH(TRIM(LEFT(Tasks[[#This Row],[_Res2Text]],FIND("[",Tasks[[#This Row],[_Res2Text]]&amp;"[")-1)),res_Initials,0),0)))</f>
        <v>0</v>
      </c>
      <c r="DJ178" s="42" t="n">
        <f aca="false">IF(Tasks[[#This Row],[_Res3Text]]="",0,IFERROR(MATCH(TRIM(LEFT(Tasks[[#This Row],[_Res3Text]],FIND("[",Tasks[[#This Row],[_Res3Text]]&amp;"[")-1)),res_Name,0),IFERROR(MATCH(TRIM(LEFT(Tasks[[#This Row],[_Res3Text]],FIND("[",Tasks[[#This Row],[_Res3Text]]&amp;"[")-1)),res_Initials,0),0)))</f>
        <v>0</v>
      </c>
      <c r="DK178" s="42" t="n">
        <f aca="false">IF(Tasks[[#This Row],[_Res4Text]]="",0,IFERROR(MATCH(TRIM(LEFT(Tasks[[#This Row],[_Res4Text]],FIND("[",Tasks[[#This Row],[_Res4Text]]&amp;"[")-1)),res_Name,0),IFERROR(MATCH(TRIM(LEFT(Tasks[[#This Row],[_Res4Text]],FIND("[",Tasks[[#This Row],[_Res4Text]]&amp;"[")-1)),res_Initials,0),0)))</f>
        <v>0</v>
      </c>
      <c r="DL178" s="42" t="str">
        <f aca="false">IF(Tasks[[#This Row],[_Res1Text]]="","",IF(Tasks[[#This Row],[_Res1Row]]&gt;0,INDEX(res_Name,Tasks[[#This Row],[_Res1Row]]),TRIM(LEFT(Tasks[[#This Row],[_Res1Text]],FIND("[",Tasks[[#This Row],[_Res1Text]]&amp;"[")-1))))</f>
        <v/>
      </c>
      <c r="DM1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8" s="42" t="n">
        <f aca="false">IF(NOT(Tasks[[#This Row],[_IsLeaf]]=1),0,(Tasks[[#This Row],[_Resource1]]&lt;&gt;"")+(Tasks[[#This Row],[_Res2]]&lt;&gt;"")+(Tasks[[#This Row],[_Res3]]&lt;&gt;"")+(Tasks[[#This Row],[_Res4]]&lt;&gt;""))</f>
        <v>0</v>
      </c>
      <c r="DO178" s="42" t="str">
        <f aca="false">IF(Tasks[[#This Row],[_Res2Text]]="","",IF(Tasks[[#This Row],[_Res2Row]]&gt;0,INDEX(res_Name,Tasks[[#This Row],[_Res2Row]]),TRIM(LEFT(Tasks[[#This Row],[_Res2Text]],FIND("[",Tasks[[#This Row],[_Res2Text]]&amp;"[")-1))))</f>
        <v/>
      </c>
      <c r="DP1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8" s="42" t="n">
        <f aca="false">IF(OR(NOT(Tasks[[#This Row],[_IsLeaf]]=1),Tasks[[#This Row],[_Res2Row]]=0),0,N(Tasks[[#This Row],[_Days]])*HoursPerDay*IF(Tasks[[#This Row],[_Res2Units]]="",DefaultUnits,Tasks[[#This Row],[_Res2Units]]))</f>
        <v>0</v>
      </c>
      <c r="DR178" s="42" t="n">
        <f aca="false">IF(AND(AND(Tasks[[#This Row],[_IsLeaf]]=1,Tasks[[#This Row],[_LeafTotalWork]]&gt;0),Tasks[[#This Row],[_Res2Work]]&gt;0),Tasks[[#This Row],[_Res2Work]]/(Tasks[[#This Row],[_FinishWorkday]]-Tasks[[#This Row],[_StartWorkday]]+1),0)</f>
        <v>0</v>
      </c>
      <c r="DS178" s="42" t="n">
        <f aca="false">Tasks[[#This Row],[_Res2WorkPerWD]]*MAX(0,Tasks[[#This Row],[_StartWorkday]]-1)</f>
        <v>0</v>
      </c>
      <c r="DT178" s="42" t="n">
        <f aca="false">Tasks[[#This Row],[_Res2Work]]*Tasks[[#This Row],[_LeafProgress]]</f>
        <v>0</v>
      </c>
      <c r="DU178" s="42" t="str">
        <f aca="false">IF(Tasks[[#This Row],[_Res3Text]]="","",IF(Tasks[[#This Row],[_Res3Row]]&gt;0,INDEX(res_Name,Tasks[[#This Row],[_Res3Row]]),TRIM(LEFT(Tasks[[#This Row],[_Res3Text]],FIND("[",Tasks[[#This Row],[_Res3Text]]&amp;"[")-1))))</f>
        <v/>
      </c>
      <c r="DV1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8" s="42" t="n">
        <f aca="false">IF(OR(NOT(Tasks[[#This Row],[_IsLeaf]]=1),Tasks[[#This Row],[_Res3Row]]=0),0,N(Tasks[[#This Row],[_Days]])*HoursPerDay*IF(Tasks[[#This Row],[_Res3Units]]="",DefaultUnits,Tasks[[#This Row],[_Res3Units]]))</f>
        <v>0</v>
      </c>
      <c r="DX178" s="42" t="n">
        <f aca="false">IF(AND(AND(Tasks[[#This Row],[_IsLeaf]]=1,Tasks[[#This Row],[_LeafTotalWork]]&gt;0),Tasks[[#This Row],[_Res3Work]]&gt;0),Tasks[[#This Row],[_Res3Work]]/(Tasks[[#This Row],[_FinishWorkday]]-Tasks[[#This Row],[_StartWorkday]]+1),0)</f>
        <v>0</v>
      </c>
      <c r="DY178" s="42" t="n">
        <f aca="false">Tasks[[#This Row],[_Res3WorkPerWD]]*MAX(0,Tasks[[#This Row],[_StartWorkday]]-1)</f>
        <v>0</v>
      </c>
      <c r="DZ178" s="42" t="n">
        <f aca="false">Tasks[[#This Row],[_Res3Work]]*Tasks[[#This Row],[_LeafProgress]]</f>
        <v>0</v>
      </c>
      <c r="EA178" s="42" t="str">
        <f aca="false">IF(Tasks[[#This Row],[_Res4Text]]="","",IF(Tasks[[#This Row],[_Res4Row]]&gt;0,INDEX(res_Name,Tasks[[#This Row],[_Res4Row]]),TRIM(LEFT(Tasks[[#This Row],[_Res4Text]],FIND("[",Tasks[[#This Row],[_Res4Text]]&amp;"[")-1))))</f>
        <v/>
      </c>
      <c r="EB1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8" s="42" t="n">
        <f aca="false">IF(OR(NOT(Tasks[[#This Row],[_IsLeaf]]=1),Tasks[[#This Row],[_Res4Row]]=0),0,N(Tasks[[#This Row],[_Days]])*HoursPerDay*IF(Tasks[[#This Row],[_Res4Units]]="",DefaultUnits,Tasks[[#This Row],[_Res4Units]]))</f>
        <v>0</v>
      </c>
      <c r="ED178" s="42" t="n">
        <f aca="false">IF(AND(AND(Tasks[[#This Row],[_IsLeaf]]=1,Tasks[[#This Row],[_LeafTotalWork]]&gt;0),Tasks[[#This Row],[_Res4Work]]&gt;0),Tasks[[#This Row],[_Res4Work]]/(Tasks[[#This Row],[_FinishWorkday]]-Tasks[[#This Row],[_StartWorkday]]+1),0)</f>
        <v>0</v>
      </c>
      <c r="EE178" s="42" t="n">
        <f aca="false">Tasks[[#This Row],[_Res4WorkPerWD]]*MAX(0,Tasks[[#This Row],[_StartWorkday]]-1)</f>
        <v>0</v>
      </c>
      <c r="EF178" s="42" t="n">
        <f aca="false">Tasks[[#This Row],[_Res4Work]]*Tasks[[#This Row],[_LeafProgress]]</f>
        <v>0</v>
      </c>
      <c r="EG178" s="42" t="n">
        <f aca="false">IF(ISNUMBER(Tasks[[#This Row],[% Complete]]),Tasks[[#This Row],[% Complete]],IF(Tasks[[#This Row],[Stage]]="",0,IFERROR(INDEX(stg_Pct,MATCH(Tasks[[#This Row],[Stage]],stg_Name,0)),0)))</f>
        <v>0</v>
      </c>
      <c r="EH178" s="42" t="n">
        <f aca="false">IF(NOT(Tasks[[#This Row],[_IsLeaf]]=1),0,IF(N(Tasks[[#This Row],[Actual Finish]])&gt;0,1,MIN(1,Tasks[[#This Row],[_Pct]])))</f>
        <v>0</v>
      </c>
      <c r="EI178" s="42" t="n">
        <f aca="false">IF(OR(NOT(Tasks[[#This Row],[_IsLeaf]]=1),Tasks[[#This Row],[_Res1Row]]=0),0,N(Tasks[[#This Row],[_Days]])*HoursPerDay*IF(Tasks[[#This Row],[_Units1]]="",DefaultUnits,Tasks[[#This Row],[_Units1]]))</f>
        <v>0</v>
      </c>
      <c r="EJ178" s="42" t="n">
        <f aca="false">Tasks[[#This Row],[_LeafWork]]+Tasks[[#This Row],[_Res2Work]]+Tasks[[#This Row],[_Res3Work]]+Tasks[[#This Row],[_Res4Work]]</f>
        <v>0</v>
      </c>
      <c r="EK1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8" s="42" t="n">
        <f aca="false">IF(NOT(Tasks[[#This Row],[_IsLeaf]]=1),0,MAX(_xlfn.MAXIFS(Tasks[_Row],Tasks[_Pred1UID],Tasks[[#This Row],[UID]]),_xlfn.MAXIFS(Tasks[_Row],Tasks[_Pred2UID],Tasks[[#This Row],[UID]]),_xlfn.MAXIFS(Tasks[_Row],Tasks[_Pred3UID],Tasks[[#This Row],[UID]]),_xlfn.MAXIFS(Tasks[_Row],Tasks[_Pred4UID],Tasks[[#This Row],[UID]])))</f>
        <v>0</v>
      </c>
      <c r="ET1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8" s="89" t="str">
        <f aca="false">IF(NOT(Tasks[[#This Row],[_IsLeaf]]=1),"",IF(N(Tasks[[#This Row],[_Days]])&lt;=0,Tasks[[#This Row],[_LeafLateFinish]],WORKDAY.INTL(Tasks[[#This Row],[_LeafLateFinish]],-(Tasks[[#This Row],[_Days]]-1),WorkWeek,Holidays)))</f>
        <v/>
      </c>
      <c r="EW1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8" s="88" t="b">
        <f aca="false">AND(Tasks[[#This Row],[_IsLeaf]]=1,Tasks[[#This Row],[_LeafProgress]]&lt;1,N(Tasks[[#This Row],[_LeafTotalSlack]])&lt;=CriticalSlackDays)</f>
        <v>0</v>
      </c>
      <c r="EY178" s="42" t="n">
        <f aca="false">IF(AND(Tasks[[#This Row],[_IsLeaf]]=1,Tasks[[#This Row],[_ConstraintCode]]=1,Tasks[[#This Row],[Mode]]&lt;&gt;"Manual",N(Tasks[[#This Row],[Actual Start]])=0),MAX(0,N(Tasks[[#This Row],[Free Slack]])),0)</f>
        <v>0</v>
      </c>
      <c r="EZ178" s="89" t="str">
        <f aca="false">IF(NOT(Tasks[[#This Row],[_IsLeaf]]=1),"",IF(Tasks[[#This Row],[_AlapShift]]=0,Tasks[[#This Row],[_LeafCalcStart]],WORKDAY.INTL(Tasks[[#This Row],[_LeafCalcStart]],Tasks[[#This Row],[_AlapShift]],WorkWeek,Holidays)))</f>
        <v/>
      </c>
      <c r="FA178" s="89" t="str">
        <f aca="false">IF(NOT(Tasks[[#This Row],[_IsLeaf]]=1),"",IF(Tasks[[#This Row],[_AlapShift]]=0,Tasks[[#This Row],[_LeafCalcFinish]],WORKDAY.INTL(Tasks[[#This Row],[_LeafCalcFinish]],Tasks[[#This Row],[_AlapShift]],WorkWeek,Holidays)))</f>
        <v/>
      </c>
      <c r="FB178" s="89" t="str">
        <f aca="false">IF(NOT(Tasks[[#This Row],[_IsLeaf]]=1),"",IF(Tasks[[#This Row],[_AlapShift]]=0,Tasks[[#This Row],[_LeafFcstStart]],WORKDAY.INTL(Tasks[[#This Row],[_LeafFcstStart]],Tasks[[#This Row],[_AlapShift]],WorkWeek,Holidays)))</f>
        <v/>
      </c>
      <c r="FC178" s="89" t="str">
        <f aca="false">IF(NOT(Tasks[[#This Row],[_IsLeaf]]=1),"",IF(Tasks[[#This Row],[_AlapShift]]=0,Tasks[[#This Row],[_LeafFcstFinish]],WORKDAY.INTL(Tasks[[#This Row],[_LeafFcstFinish]],Tasks[[#This Row],[_AlapShift]],WorkWeek,Holidays)))</f>
        <v/>
      </c>
      <c r="FD178" s="89" t="str">
        <f aca="false">IF(Tasks[[#This Row],[Task Name]]="","",IF(Tasks[[#This Row],[_IsSummary]],MIN(INDEX(Tasks[_ShownCalcStart],Tasks[[#This Row],[_Row]]+1):INDEX(Tasks[_ShownCalcStart],Tasks[[#This Row],[_Row]]+Tasks[[#This Row],[_Descendants]])),Tasks[[#This Row],[_ShownCalcStart]]))</f>
        <v/>
      </c>
      <c r="FE178" s="89" t="str">
        <f aca="false">IF(Tasks[[#This Row],[Task Name]]="","",IF(Tasks[[#This Row],[_IsSummary]],MAX(INDEX(Tasks[_ShownCalcFinish],Tasks[[#This Row],[_Row]]+1):INDEX(Tasks[_ShownCalcFinish],Tasks[[#This Row],[_Row]]+Tasks[[#This Row],[_Descendants]])),Tasks[[#This Row],[_ShownCalcFinish]]))</f>
        <v/>
      </c>
      <c r="FF1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8" s="42" t="n">
        <f aca="false">IF(AND(Tasks[[#This Row],[_IsLeaf]]=1,Tasks[[#This Row],[_LeafTotalWork]]&gt;0),NETWORKDAYS.INTL(ProjectStart,Tasks[[#This Row],[_ShownFcstStart]],WorkWeek,Holidays),0)</f>
        <v>0</v>
      </c>
      <c r="FS178" s="42" t="n">
        <f aca="false">IF(AND(Tasks[[#This Row],[_IsLeaf]]=1,Tasks[[#This Row],[_LeafTotalWork]]&gt;0),MAX(Tasks[[#This Row],[_StartWorkday]],NETWORKDAYS.INTL(ProjectStart,Tasks[[#This Row],[_ShownFcstFinish]],WorkWeek,Holidays)),0)</f>
        <v>0</v>
      </c>
      <c r="FT178" s="42" t="n">
        <f aca="false">IF(AND(Tasks[[#This Row],[_IsLeaf]]=1,Tasks[[#This Row],[_LeafTotalWork]]&gt;0),Tasks[[#This Row],[_LeafWork]]/(Tasks[[#This Row],[_FinishWorkday]]-Tasks[[#This Row],[_StartWorkday]]+1),0)</f>
        <v>0</v>
      </c>
      <c r="FU178" s="42" t="n">
        <f aca="false">Tasks[[#This Row],[_WorkPerWorkday]]*(Tasks[[#This Row],[_StartWorkday]]-1)</f>
        <v>-0</v>
      </c>
      <c r="FV178" s="42" t="n">
        <f aca="false">IF(Tasks[[#This Row],[_IsLeaf]]=1,MAX(N(Tasks[[#This Row],[_Days]]),0.1),0)</f>
        <v>0</v>
      </c>
      <c r="FW178" s="42" t="n">
        <f aca="false">Tasks[[#This Row],[_WeightDur]]*Tasks[[#This Row],[_LeafProgress]]</f>
        <v>0</v>
      </c>
      <c r="FX178" s="42" t="n">
        <f aca="false">Tasks[[#This Row],[_WeightDur]]*Tasks[[#This Row],[_PlannedPct]]</f>
        <v>0</v>
      </c>
      <c r="FY1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8" s="42" t="str">
        <f aca="false">IF(AND(Tasks[[#This Row],[_IsLeaf]]=1,N(Tasks[[#This Row],[_Days]])=0,Tasks[[#This Row],[_LeafProgress]]&lt;1),Tasks[[#This Row],[_ShownFcstFinish]]+Tasks[[#This Row],[_Row]]/100000,"")</f>
        <v/>
      </c>
      <c r="GA1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8" s="42" t="str">
        <f aca="false">IF(Tasks[[#This Row],[Task Name]]="","",LEFT(Tasks[[#This Row],[WBS]],FIND(".",Tasks[[#This Row],[WBS]]&amp;".")-1))</f>
        <v/>
      </c>
      <c r="GC178" s="42" t="str">
        <f aca="false">IF(AND(Tasks[[#This Row],[Task Name]]&lt;&gt;"",Tasks[[#This Row],[_Level]]=1),Tasks[[#This Row],[_Row]],"")</f>
        <v/>
      </c>
      <c r="GD178" s="42" t="str">
        <f aca="false">IF(AND(Tasks[[#This Row],[_IsLeaf]]=1,N(Tasks[[#This Row],[_Days]])=0),Tasks[[#This Row],[Planned Finish]]+Tasks[[#This Row],[_Row]]/100000,"")</f>
        <v/>
      </c>
      <c r="GE178" s="42" t="str">
        <f aca="false">IF(AND(Tasks[[#This Row],[_IsLeaf]]=1,Tasks[[#This Row],[_LeafProgress]]&lt;1,OR(N(Tasks[[#This Row],[Finish Var]])&gt;0,Tasks[[#This Row],[Status]]="Late Start")),MAX(0,Tasks[[#This Row],[Finish Var]])+1-Tasks[[#This Row],[_Row]]/1000000,"")</f>
        <v/>
      </c>
      <c r="GF178" s="42" t="str">
        <f aca="false">IF(AND(Tasks[[#This Row],[_IsLeaf]]=1,N(Tasks[[#This Row],[Actual Start]])=0,Tasks[[#This Row],[_ShownFcstStart]]&gt;=StatusDate,Tasks[[#This Row],[_ShownFcstStart]]&lt;=LookaheadEnd),Tasks[[#This Row],[_ShownFcstStart]]+Tasks[[#This Row],[_Row]]/100000,"")</f>
        <v/>
      </c>
      <c r="GG178" s="42" t="str">
        <f aca="false">IF(AND(Tasks[[#This Row],[_IsLeaf]]=1,Tasks[[#This Row],[_LeafProgress]]&lt;1,Tasks[[#This Row],[_ShownFcstFinish]]&gt;=StatusDate,Tasks[[#This Row],[_ShownFcstFinish]]&lt;=LookaheadEnd),Tasks[[#This Row],[_ShownFcstFinish]]+Tasks[[#This Row],[_Row]]/100000,"")</f>
        <v/>
      </c>
      <c r="GH178" s="42" t="str">
        <f aca="false">IF(Tasks[[#This Row],[_LeafCritical]],Tasks[[#This Row],[_ShownFcstStart]]+Tasks[[#This Row],[_Row]]/100000,"")</f>
        <v/>
      </c>
      <c r="GI178" s="42" t="n">
        <f aca="false">Tasks[[#This Row],[_LeafWork]]*Tasks[[#This Row],[_LeafProgress]]</f>
        <v>0</v>
      </c>
      <c r="GJ178" s="89" t="str">
        <f aca="false">IF(AND(Tasks[[#This Row],[_IsLeaf]]=1,Tasks[[#This Row],[_LeafProgress]]&gt;=1),IF(N(Tasks[[#This Row],[Actual Finish]])&gt;0,Tasks[[#This Row],[Actual Finish]],Tasks[[#This Row],[_ShownFcstFinish]]),"")</f>
        <v/>
      </c>
      <c r="GK178" s="42" t="n">
        <f aca="false">IF(Tasks[[#This Row],[_IsLeaf]]=1,N(Tasks[[#This Row],[Story Points]]),0)</f>
        <v>0</v>
      </c>
      <c r="GL178" s="42" t="str">
        <f aca="false">""</f>
        <v/>
      </c>
      <c r="GM178" s="88" t="b">
        <f aca="false">IF(Tasks[[#This Row],[Task Name]]="",FALSE(),AND(Tasks[[#This Row],[_IsLeaf]]=1,N(Tasks[[#This Row],[_Days]])=0))</f>
        <v>0</v>
      </c>
      <c r="GN178" s="89" t="n">
        <f aca="false">IF(Tasks[[#This Row],[Task Name]]="",0,IF(AND(Tasks[[#This Row],[_IsLeaf]]=1,NOT(Tasks[[#This Row],[_IsMilestone]]),N(Tasks[[#This Row],[Progress]])&gt;0),Tasks[[#This Row],[Start]],0))</f>
        <v>0</v>
      </c>
      <c r="GO178" s="89" t="n">
        <f aca="false">IF(Tasks[[#This Row],[_DoneFrom]]=0,0,IF(Tasks[[#This Row],[Progress]]&gt;=1,Tasks[[#This Row],[Finish]],MAX(Tasks[[#This Row],[_DoneFrom]],Tasks[[#This Row],[Start]]+ROUND((Tasks[[#This Row],[Finish]]-Tasks[[#This Row],[Start]]+1)*Tasks[[#This Row],[Progress]],0)-1)))</f>
        <v>0</v>
      </c>
      <c r="GP178" s="89" t="n">
        <f aca="false">IF(Tasks[[#This Row],[Task Name]]="",0,IF(OR(NOT(Tasks[[#This Row],[_IsLeaf]]=1),Tasks[[#This Row],[_IsMilestone]],N(Tasks[[#This Row],[Progress]])&gt;=1),0,IF(Tasks[[#This Row],[_DoneTo]]&gt;0,Tasks[[#This Row],[_DoneTo]]+1,Tasks[[#This Row],[Start]])))</f>
        <v>0</v>
      </c>
      <c r="GQ178" s="89" t="n">
        <f aca="false">IF(Tasks[[#This Row],[_RemFrom]]=0,0,Tasks[[#This Row],[Finish]])</f>
        <v>0</v>
      </c>
      <c r="GR178" s="88" t="b">
        <f aca="false">IF(Tasks[[#This Row],[Task Name]]="",FALSE(),OR(NOT(BaselineSet),N(Tasks[[#This Row],[Baseline Start]])&gt;0))</f>
        <v>0</v>
      </c>
      <c r="GS1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8" s="90" t="str">
        <f aca="false">IF(Tasks[[#This Row],[_IsLeaf]]=1,Tasks[[#This Row],[_Row]],"")</f>
        <v/>
      </c>
      <c r="GW178" s="90" t="str">
        <f aca="false">IFERROR(INDEX(Tasks[UID],SMALL(Tasks[_PickKey],Tasks[[#This Row],[_Row]]))&amp;" "&amp;INDEX(Tasks[Task Name],SMALL(Tasks[_PickKey],Tasks[[#This Row],[_Row]])),"")</f>
        <v/>
      </c>
      <c r="GX178" s="42" t="str">
        <f aca="false">IF(Tasks[[#This Row],[Task Name]]="","",IF(Tasks[[#This Row],[_IsSummary]],NETWORKDAYS.INTL(Tasks[[#This Row],[Start]],Tasks[[#This Row],[Finish]],WorkWeek,Holidays),N(Tasks[[#This Row],[_Days]])))</f>
        <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3"/>
      <c r="U179" s="23"/>
      <c r="V179" s="83"/>
      <c r="W179" s="23"/>
      <c r="X179" s="83"/>
      <c r="Y179" s="23"/>
      <c r="Z179" s="83"/>
      <c r="AA179" s="23"/>
      <c r="AB179" s="23"/>
      <c r="AC179" s="7"/>
      <c r="AD179" s="7"/>
      <c r="AE179" s="62" t="str">
        <f aca="false">IF(Tasks[[#This Row],[Task Name]]="","",IF(Tasks[[#This Row],[_IsSummary]],MIN(INDEX(Tasks[_ShownFcstStart],Tasks[[#This Row],[_Row]]+1):INDEX(Tasks[_ShownFcstStart],Tasks[[#This Row],[_Row]]+Tasks[[#This Row],[_Descendants]])),Tasks[[#This Row],[_ShownFcstStart]]))</f>
        <v/>
      </c>
      <c r="AF179" s="62"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9" s="7"/>
      <c r="AK179" s="22"/>
      <c r="AL179" s="23"/>
      <c r="AM179" s="7"/>
      <c r="AN179" s="46"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2" t="str">
        <f aca="false">IF(Tasks[[#This Row],[Task Name]]="","",IF(N(Tasks[[#This Row],[Baseline Start]])&gt;0,Tasks[[#This Row],[Baseline Start]],Tasks[[#This Row],[_CalcStart]]))</f>
        <v/>
      </c>
      <c r="AR179" s="62" t="str">
        <f aca="false">IF(Tasks[[#This Row],[Task Name]]="","",IF(N(Tasks[[#This Row],[Baseline Finish]])&gt;0,Tasks[[#This Row],[Baseline Finish]],Tasks[[#This Row],[_CalcFinish]]))</f>
        <v/>
      </c>
      <c r="AS179" s="46" t="str">
        <f aca="false">IF(Tasks[[#This Row],[Task Name]]="","",IF(Tasks[[#This Row],[Start]]&gt;=Tasks[[#This Row],[Planned Start]],NETWORKDAYS.INTL(Tasks[[#This Row],[Planned Start]],Tasks[[#This Row],[Start]],WorkWeek,Holidays)-1,1-NETWORKDAYS.INTL(Tasks[[#This Row],[Start]],Tasks[[#This Row],[Planned Start]],WorkWeek,Holidays)))</f>
        <v/>
      </c>
      <c r="AT179" s="62" t="str">
        <f aca="false">IF(Tasks[[#This Row],[Task Name]]="","",IF(Tasks[[#This Row],[_IsSummary]],MIN(INDEX(Tasks[_LeafLateStart],Tasks[[#This Row],[_Row]]+1):INDEX(Tasks[_LeafLateStart],Tasks[[#This Row],[_Row]]+Tasks[[#This Row],[_Descendants]])),Tasks[[#This Row],[_LeafLateStart]]))</f>
        <v/>
      </c>
      <c r="AU179" s="62" t="str">
        <f aca="false">IF(Tasks[[#This Row],[Task Name]]="","",IF(Tasks[[#This Row],[_IsSummary]],MAX(INDEX(Tasks[_LeafLateFinish],Tasks[[#This Row],[_Row]]+1):INDEX(Tasks[_LeafLateFinish],Tasks[[#This Row],[_Row]]+Tasks[[#This Row],[_Descendants]])),Tasks[[#This Row],[_LeafLateFinish]]))</f>
        <v/>
      </c>
      <c r="AV179" s="46"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4"/>
      <c r="BA1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5"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6"/>
      <c r="BJ179" s="22"/>
      <c r="BK179" s="46" t="str">
        <f aca="false">IF(OR(Tasks[[#This Row],[Task Name]]="",Tasks[[#This Row],[Baseline Duration]]=""),"",Tasks[[#This Row],[_SpanDays]]-N(Tasks[[#This Row],[Baseline Duration]]))</f>
        <v/>
      </c>
      <c r="BL179" s="85" t="str">
        <f aca="false">IF(OR(Tasks[[#This Row],[Task Name]]="",Tasks[[#This Row],[Baseline Work]]=""),"",Tasks[[#This Row],[Work]]-N(Tasks[[#This Row],[Baseline Work]]))</f>
        <v/>
      </c>
      <c r="BM179" s="62" t="str">
        <f aca="false">IF(Tasks[[#This Row],[Task Name]]="","",IF(OR(TakeBaseline="Yes",N(Tasks[[#This Row],[Baseline Start]])=0),Tasks[[#This Row],[Start]],Tasks[[#This Row],[Baseline Start]]))</f>
        <v/>
      </c>
      <c r="BN179" s="62"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5" t="str">
        <f aca="false">IF(Tasks[[#This Row],[Task Name]]="","",IF(OR(TakeBaseline="Yes",N(Tasks[[#This Row],[Baseline Work]])=0),Tasks[[#This Row],[Work]],Tasks[[#This Row],[Baseline Work]]))</f>
        <v/>
      </c>
      <c r="BQ179" s="7"/>
      <c r="BR179" s="7"/>
      <c r="BS179" s="22"/>
      <c r="BT179" s="87"/>
      <c r="BU179" s="42" t="str">
        <f aca="false">IF(Tasks[[#This Row],[Task Name]]="","",MAX(1,N(Tasks[[#This Row],[Level]])))</f>
        <v/>
      </c>
      <c r="BV179" s="42" t="n">
        <f aca="false">ROW()-ROW(Tasks[[#Headers],[ID]])</f>
        <v>174</v>
      </c>
      <c r="BW179" s="42" t="n">
        <f aca="false">IF(OR(Tasks[[#This Row],[Task Name]]="",Tasks[[#This Row],[_Level]]&lt;=1),0,IFERROR(LOOKUP(2,1/(Tasks[[#Headers],[_Level]]:Tasks[[#This Row],[_Level]]=Tasks[[#This Row],[_Level]]-1),ROW(Tasks[[#Headers],[_Level]]:Tasks[[#This Row],[_Level]])),0))</f>
        <v>0</v>
      </c>
      <c r="BX179" s="42" t="n">
        <f aca="false">IFERROR(N(INDEX(Tasks[_Level],Tasks[[#This Row],[_Row]]+1)),0)</f>
        <v>0</v>
      </c>
      <c r="BY179" s="88" t="b">
        <f aca="false">AND(Tasks[[#This Row],[Task Name]]&lt;&gt;"",Tasks[[#This Row],[_NextLevel]]&gt;Tasks[[#This Row],[_Level]])</f>
        <v>0</v>
      </c>
      <c r="BZ179" s="42" t="n">
        <f aca="false">IF(Tasks[[#This Row],[_IsSummary]],COUNTIF(Tasks[WBS],Tasks[[#This Row],[WBS]]&amp;".*"),0)</f>
        <v>0</v>
      </c>
      <c r="CA179" s="42" t="n">
        <f aca="false">IF(AND(Tasks[[#This Row],[Task Name]]&lt;&gt;"",NOT(Tasks[[#This Row],[_IsSummary]])),1,0)</f>
        <v>0</v>
      </c>
      <c r="CB179" s="42" t="n">
        <f aca="false">IF(N(Tasks[[#This Row],[_Pred1UID]])=0,0,IFERROR(MATCH(Tasks[[#This Row],[_Pred1UID]],Tasks[UID],0),-1))</f>
        <v>0</v>
      </c>
      <c r="CC179" s="42" t="n">
        <f aca="false">IF(N(Tasks[[#This Row],[_Pred2UID]])=0,0,IFERROR(MATCH(Tasks[[#This Row],[_Pred2UID]],Tasks[UID],0),-1))</f>
        <v>0</v>
      </c>
      <c r="CD179" s="42" t="n">
        <f aca="false">IF(N(Tasks[[#This Row],[_Pred3UID]])=0,0,IFERROR(MATCH(Tasks[[#This Row],[_Pred3UID]],Tasks[UID],0),-1))</f>
        <v>0</v>
      </c>
      <c r="CE179" s="42" t="n">
        <f aca="false">IF(N(Tasks[[#This Row],[_Pred4UID]])=0,0,IFERROR(MATCH(Tasks[[#This Row],[_Pred4UID]],Tasks[UID],0),-1))</f>
        <v>0</v>
      </c>
      <c r="CF1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9" s="89" t="n">
        <f aca="false">IF(OR(Tasks[[#This Row],[_ConstraintCode]]=2,Tasks[[#This Row],[_ConstraintCode]]=3,Tasks[[#This Row],[_ConstraintCode]]=4,Tasks[[#This Row],[_ConstraintCode]]=6),Tasks[[#This Row],[_ConstraintStart]],0)</f>
        <v>0</v>
      </c>
      <c r="CI179" s="89" t="n">
        <f aca="false">IF(OR(Tasks[[#This Row],[_ConstraintCode]]=2,Tasks[[#This Row],[_ConstraintCode]]=3,Tasks[[#This Row],[_ConstraintCode]]=5,Tasks[[#This Row],[_ConstraintCode]]=7),Tasks[[#This Row],[_ConstraintStart]],2958465)</f>
        <v>2958465</v>
      </c>
      <c r="CJ1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9" s="89" t="str">
        <f aca="false">IF(NOT(Tasks[[#This Row],[_IsLeaf]]=1),"",IF(N(Tasks[[#This Row],[_Days]])&lt;=0,Tasks[[#This Row],[_LeafCalcStart]],WORKDAY.INTL(Tasks[[#This Row],[_LeafCalcStart]],Tasks[[#This Row],[_Days]]-1,WorkWeek,Holidays)))</f>
        <v/>
      </c>
      <c r="CL1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9" s="42" t="str">
        <f aca="false">IF(Tasks[[#This Row],[_Predecessors]]="","",TRIM(MID(SUBSTITUTE(SUBSTITUTE(SUBSTITUTE(UPPER(Tasks[[#This Row],[_Predecessors]]),";",",")," ",""),",",REPT(" ",99)),1,99)))</f>
        <v/>
      </c>
      <c r="CO179" s="42" t="str">
        <f aca="false">IF(Tasks[[#This Row],[_Pred1Text]]="","",IFERROR(VALUE(LEFT(Tasks[[#This Row],[_Pred1Text]],MIN(FIND("F",Tasks[[#This Row],[_Pred1Text]]&amp;"F"),FIND("S",Tasks[[#This Row],[_Pred1Text]]&amp;"S"),FIND("+",Tasks[[#This Row],[_Pred1Text]]&amp;"+"),FIND("-",Tasks[[#This Row],[_Pred1Text]]&amp;"-"))-1)),""))</f>
        <v/>
      </c>
      <c r="CP1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9" s="42" t="str">
        <f aca="false">IF(Tasks[[#This Row],[_Pred1Text]]="","",TRIM(MID(SUBSTITUTE(SUBSTITUTE(SUBSTITUTE(UPPER(Tasks[[#This Row],[_Predecessors]]),";",",")," ",""),",",REPT(" ",99)),100,99)))</f>
        <v/>
      </c>
      <c r="CS179" s="42" t="str">
        <f aca="false">IF(Tasks[[#This Row],[_Pred2Text]]="","",IFERROR(VALUE(LEFT(Tasks[[#This Row],[_Pred2Text]],MIN(FIND("F",Tasks[[#This Row],[_Pred2Text]]&amp;"F"),FIND("S",Tasks[[#This Row],[_Pred2Text]]&amp;"S"),FIND("+",Tasks[[#This Row],[_Pred2Text]]&amp;"+"),FIND("-",Tasks[[#This Row],[_Pred2Text]]&amp;"-"))-1)),""))</f>
        <v/>
      </c>
      <c r="CT1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9" s="42" t="str">
        <f aca="false">IF(Tasks[[#This Row],[_Pred2Text]]="","",TRIM(MID(SUBSTITUTE(SUBSTITUTE(SUBSTITUTE(UPPER(Tasks[[#This Row],[_Predecessors]]),";",",")," ",""),",",REPT(" ",99)),199,99)))</f>
        <v/>
      </c>
      <c r="CW179" s="42" t="str">
        <f aca="false">IF(Tasks[[#This Row],[_Pred3Text]]="","",IFERROR(VALUE(LEFT(Tasks[[#This Row],[_Pred3Text]],MIN(FIND("F",Tasks[[#This Row],[_Pred3Text]]&amp;"F"),FIND("S",Tasks[[#This Row],[_Pred3Text]]&amp;"S"),FIND("+",Tasks[[#This Row],[_Pred3Text]]&amp;"+"),FIND("-",Tasks[[#This Row],[_Pred3Text]]&amp;"-"))-1)),""))</f>
        <v/>
      </c>
      <c r="CX1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9" s="42" t="str">
        <f aca="false">IF(Tasks[[#This Row],[_Pred3Text]]="","",TRIM(MID(SUBSTITUTE(SUBSTITUTE(SUBSTITUTE(UPPER(Tasks[[#This Row],[_Predecessors]]),";",",")," ",""),",",REPT(" ",99)),298,99)))</f>
        <v/>
      </c>
      <c r="DA179" s="42" t="str">
        <f aca="false">IF(Tasks[[#This Row],[_Pred4Text]]="","",IFERROR(VALUE(LEFT(Tasks[[#This Row],[_Pred4Text]],MIN(FIND("F",Tasks[[#This Row],[_Pred4Text]]&amp;"F"),FIND("S",Tasks[[#This Row],[_Pred4Text]]&amp;"S"),FIND("+",Tasks[[#This Row],[_Pred4Text]]&amp;"+"),FIND("-",Tasks[[#This Row],[_Pred4Text]]&amp;"-"))-1)),""))</f>
        <v/>
      </c>
      <c r="DB1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9" s="42" t="str">
        <f aca="false">IF(OR(Tasks[[#This Row],[Task Name]]="",Tasks[[#This Row],[_Resources]]=""),"",TRIM(MID(SUBSTITUTE(Tasks[[#This Row],[_Resources]],",",REPT(" ",99)),1,99)))</f>
        <v/>
      </c>
      <c r="DE179" s="42" t="str">
        <f aca="false">IF(Tasks[[#This Row],[_Res1Text]]="","",TRIM(MID(SUBSTITUTE(Tasks[[#This Row],[_Resources]],",",REPT(" ",99)),100,99)))</f>
        <v/>
      </c>
      <c r="DF179" s="42" t="str">
        <f aca="false">IF(Tasks[[#This Row],[_Res2Text]]="","",TRIM(MID(SUBSTITUTE(Tasks[[#This Row],[_Resources]],",",REPT(" ",99)),199,99)))</f>
        <v/>
      </c>
      <c r="DG179" s="42" t="str">
        <f aca="false">IF(Tasks[[#This Row],[_Res3Text]]="","",TRIM(MID(SUBSTITUTE(Tasks[[#This Row],[_Resources]],",",REPT(" ",99)),298,99)))</f>
        <v/>
      </c>
      <c r="DH179" s="42" t="n">
        <f aca="false">IF(Tasks[[#This Row],[_Res1Text]]="",0,IFERROR(MATCH(TRIM(LEFT(Tasks[[#This Row],[_Res1Text]],FIND("[",Tasks[[#This Row],[_Res1Text]]&amp;"[")-1)),res_Name,0),IFERROR(MATCH(TRIM(LEFT(Tasks[[#This Row],[_Res1Text]],FIND("[",Tasks[[#This Row],[_Res1Text]]&amp;"[")-1)),res_Initials,0),0)))</f>
        <v>0</v>
      </c>
      <c r="DI179" s="42" t="n">
        <f aca="false">IF(Tasks[[#This Row],[_Res2Text]]="",0,IFERROR(MATCH(TRIM(LEFT(Tasks[[#This Row],[_Res2Text]],FIND("[",Tasks[[#This Row],[_Res2Text]]&amp;"[")-1)),res_Name,0),IFERROR(MATCH(TRIM(LEFT(Tasks[[#This Row],[_Res2Text]],FIND("[",Tasks[[#This Row],[_Res2Text]]&amp;"[")-1)),res_Initials,0),0)))</f>
        <v>0</v>
      </c>
      <c r="DJ179" s="42" t="n">
        <f aca="false">IF(Tasks[[#This Row],[_Res3Text]]="",0,IFERROR(MATCH(TRIM(LEFT(Tasks[[#This Row],[_Res3Text]],FIND("[",Tasks[[#This Row],[_Res3Text]]&amp;"[")-1)),res_Name,0),IFERROR(MATCH(TRIM(LEFT(Tasks[[#This Row],[_Res3Text]],FIND("[",Tasks[[#This Row],[_Res3Text]]&amp;"[")-1)),res_Initials,0),0)))</f>
        <v>0</v>
      </c>
      <c r="DK179" s="42" t="n">
        <f aca="false">IF(Tasks[[#This Row],[_Res4Text]]="",0,IFERROR(MATCH(TRIM(LEFT(Tasks[[#This Row],[_Res4Text]],FIND("[",Tasks[[#This Row],[_Res4Text]]&amp;"[")-1)),res_Name,0),IFERROR(MATCH(TRIM(LEFT(Tasks[[#This Row],[_Res4Text]],FIND("[",Tasks[[#This Row],[_Res4Text]]&amp;"[")-1)),res_Initials,0),0)))</f>
        <v>0</v>
      </c>
      <c r="DL179" s="42" t="str">
        <f aca="false">IF(Tasks[[#This Row],[_Res1Text]]="","",IF(Tasks[[#This Row],[_Res1Row]]&gt;0,INDEX(res_Name,Tasks[[#This Row],[_Res1Row]]),TRIM(LEFT(Tasks[[#This Row],[_Res1Text]],FIND("[",Tasks[[#This Row],[_Res1Text]]&amp;"[")-1))))</f>
        <v/>
      </c>
      <c r="DM1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9" s="42" t="n">
        <f aca="false">IF(NOT(Tasks[[#This Row],[_IsLeaf]]=1),0,(Tasks[[#This Row],[_Resource1]]&lt;&gt;"")+(Tasks[[#This Row],[_Res2]]&lt;&gt;"")+(Tasks[[#This Row],[_Res3]]&lt;&gt;"")+(Tasks[[#This Row],[_Res4]]&lt;&gt;""))</f>
        <v>0</v>
      </c>
      <c r="DO179" s="42" t="str">
        <f aca="false">IF(Tasks[[#This Row],[_Res2Text]]="","",IF(Tasks[[#This Row],[_Res2Row]]&gt;0,INDEX(res_Name,Tasks[[#This Row],[_Res2Row]]),TRIM(LEFT(Tasks[[#This Row],[_Res2Text]],FIND("[",Tasks[[#This Row],[_Res2Text]]&amp;"[")-1))))</f>
        <v/>
      </c>
      <c r="DP1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9" s="42" t="n">
        <f aca="false">IF(OR(NOT(Tasks[[#This Row],[_IsLeaf]]=1),Tasks[[#This Row],[_Res2Row]]=0),0,N(Tasks[[#This Row],[_Days]])*HoursPerDay*IF(Tasks[[#This Row],[_Res2Units]]="",DefaultUnits,Tasks[[#This Row],[_Res2Units]]))</f>
        <v>0</v>
      </c>
      <c r="DR179" s="42" t="n">
        <f aca="false">IF(AND(AND(Tasks[[#This Row],[_IsLeaf]]=1,Tasks[[#This Row],[_LeafTotalWork]]&gt;0),Tasks[[#This Row],[_Res2Work]]&gt;0),Tasks[[#This Row],[_Res2Work]]/(Tasks[[#This Row],[_FinishWorkday]]-Tasks[[#This Row],[_StartWorkday]]+1),0)</f>
        <v>0</v>
      </c>
      <c r="DS179" s="42" t="n">
        <f aca="false">Tasks[[#This Row],[_Res2WorkPerWD]]*MAX(0,Tasks[[#This Row],[_StartWorkday]]-1)</f>
        <v>0</v>
      </c>
      <c r="DT179" s="42" t="n">
        <f aca="false">Tasks[[#This Row],[_Res2Work]]*Tasks[[#This Row],[_LeafProgress]]</f>
        <v>0</v>
      </c>
      <c r="DU179" s="42" t="str">
        <f aca="false">IF(Tasks[[#This Row],[_Res3Text]]="","",IF(Tasks[[#This Row],[_Res3Row]]&gt;0,INDEX(res_Name,Tasks[[#This Row],[_Res3Row]]),TRIM(LEFT(Tasks[[#This Row],[_Res3Text]],FIND("[",Tasks[[#This Row],[_Res3Text]]&amp;"[")-1))))</f>
        <v/>
      </c>
      <c r="DV1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9" s="42" t="n">
        <f aca="false">IF(OR(NOT(Tasks[[#This Row],[_IsLeaf]]=1),Tasks[[#This Row],[_Res3Row]]=0),0,N(Tasks[[#This Row],[_Days]])*HoursPerDay*IF(Tasks[[#This Row],[_Res3Units]]="",DefaultUnits,Tasks[[#This Row],[_Res3Units]]))</f>
        <v>0</v>
      </c>
      <c r="DX179" s="42" t="n">
        <f aca="false">IF(AND(AND(Tasks[[#This Row],[_IsLeaf]]=1,Tasks[[#This Row],[_LeafTotalWork]]&gt;0),Tasks[[#This Row],[_Res3Work]]&gt;0),Tasks[[#This Row],[_Res3Work]]/(Tasks[[#This Row],[_FinishWorkday]]-Tasks[[#This Row],[_StartWorkday]]+1),0)</f>
        <v>0</v>
      </c>
      <c r="DY179" s="42" t="n">
        <f aca="false">Tasks[[#This Row],[_Res3WorkPerWD]]*MAX(0,Tasks[[#This Row],[_StartWorkday]]-1)</f>
        <v>0</v>
      </c>
      <c r="DZ179" s="42" t="n">
        <f aca="false">Tasks[[#This Row],[_Res3Work]]*Tasks[[#This Row],[_LeafProgress]]</f>
        <v>0</v>
      </c>
      <c r="EA179" s="42" t="str">
        <f aca="false">IF(Tasks[[#This Row],[_Res4Text]]="","",IF(Tasks[[#This Row],[_Res4Row]]&gt;0,INDEX(res_Name,Tasks[[#This Row],[_Res4Row]]),TRIM(LEFT(Tasks[[#This Row],[_Res4Text]],FIND("[",Tasks[[#This Row],[_Res4Text]]&amp;"[")-1))))</f>
        <v/>
      </c>
      <c r="EB1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9" s="42" t="n">
        <f aca="false">IF(OR(NOT(Tasks[[#This Row],[_IsLeaf]]=1),Tasks[[#This Row],[_Res4Row]]=0),0,N(Tasks[[#This Row],[_Days]])*HoursPerDay*IF(Tasks[[#This Row],[_Res4Units]]="",DefaultUnits,Tasks[[#This Row],[_Res4Units]]))</f>
        <v>0</v>
      </c>
      <c r="ED179" s="42" t="n">
        <f aca="false">IF(AND(AND(Tasks[[#This Row],[_IsLeaf]]=1,Tasks[[#This Row],[_LeafTotalWork]]&gt;0),Tasks[[#This Row],[_Res4Work]]&gt;0),Tasks[[#This Row],[_Res4Work]]/(Tasks[[#This Row],[_FinishWorkday]]-Tasks[[#This Row],[_StartWorkday]]+1),0)</f>
        <v>0</v>
      </c>
      <c r="EE179" s="42" t="n">
        <f aca="false">Tasks[[#This Row],[_Res4WorkPerWD]]*MAX(0,Tasks[[#This Row],[_StartWorkday]]-1)</f>
        <v>0</v>
      </c>
      <c r="EF179" s="42" t="n">
        <f aca="false">Tasks[[#This Row],[_Res4Work]]*Tasks[[#This Row],[_LeafProgress]]</f>
        <v>0</v>
      </c>
      <c r="EG179" s="42" t="n">
        <f aca="false">IF(ISNUMBER(Tasks[[#This Row],[% Complete]]),Tasks[[#This Row],[% Complete]],IF(Tasks[[#This Row],[Stage]]="",0,IFERROR(INDEX(stg_Pct,MATCH(Tasks[[#This Row],[Stage]],stg_Name,0)),0)))</f>
        <v>0</v>
      </c>
      <c r="EH179" s="42" t="n">
        <f aca="false">IF(NOT(Tasks[[#This Row],[_IsLeaf]]=1),0,IF(N(Tasks[[#This Row],[Actual Finish]])&gt;0,1,MIN(1,Tasks[[#This Row],[_Pct]])))</f>
        <v>0</v>
      </c>
      <c r="EI179" s="42" t="n">
        <f aca="false">IF(OR(NOT(Tasks[[#This Row],[_IsLeaf]]=1),Tasks[[#This Row],[_Res1Row]]=0),0,N(Tasks[[#This Row],[_Days]])*HoursPerDay*IF(Tasks[[#This Row],[_Units1]]="",DefaultUnits,Tasks[[#This Row],[_Units1]]))</f>
        <v>0</v>
      </c>
      <c r="EJ179" s="42" t="n">
        <f aca="false">Tasks[[#This Row],[_LeafWork]]+Tasks[[#This Row],[_Res2Work]]+Tasks[[#This Row],[_Res3Work]]+Tasks[[#This Row],[_Res4Work]]</f>
        <v>0</v>
      </c>
      <c r="EK1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9" s="42" t="n">
        <f aca="false">IF(NOT(Tasks[[#This Row],[_IsLeaf]]=1),0,MAX(_xlfn.MAXIFS(Tasks[_Row],Tasks[_Pred1UID],Tasks[[#This Row],[UID]]),_xlfn.MAXIFS(Tasks[_Row],Tasks[_Pred2UID],Tasks[[#This Row],[UID]]),_xlfn.MAXIFS(Tasks[_Row],Tasks[_Pred3UID],Tasks[[#This Row],[UID]]),_xlfn.MAXIFS(Tasks[_Row],Tasks[_Pred4UID],Tasks[[#This Row],[UID]])))</f>
        <v>0</v>
      </c>
      <c r="ET1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9" s="89" t="str">
        <f aca="false">IF(NOT(Tasks[[#This Row],[_IsLeaf]]=1),"",IF(N(Tasks[[#This Row],[_Days]])&lt;=0,Tasks[[#This Row],[_LeafLateFinish]],WORKDAY.INTL(Tasks[[#This Row],[_LeafLateFinish]],-(Tasks[[#This Row],[_Days]]-1),WorkWeek,Holidays)))</f>
        <v/>
      </c>
      <c r="EW1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9" s="88" t="b">
        <f aca="false">AND(Tasks[[#This Row],[_IsLeaf]]=1,Tasks[[#This Row],[_LeafProgress]]&lt;1,N(Tasks[[#This Row],[_LeafTotalSlack]])&lt;=CriticalSlackDays)</f>
        <v>0</v>
      </c>
      <c r="EY179" s="42" t="n">
        <f aca="false">IF(AND(Tasks[[#This Row],[_IsLeaf]]=1,Tasks[[#This Row],[_ConstraintCode]]=1,Tasks[[#This Row],[Mode]]&lt;&gt;"Manual",N(Tasks[[#This Row],[Actual Start]])=0),MAX(0,N(Tasks[[#This Row],[Free Slack]])),0)</f>
        <v>0</v>
      </c>
      <c r="EZ179" s="89" t="str">
        <f aca="false">IF(NOT(Tasks[[#This Row],[_IsLeaf]]=1),"",IF(Tasks[[#This Row],[_AlapShift]]=0,Tasks[[#This Row],[_LeafCalcStart]],WORKDAY.INTL(Tasks[[#This Row],[_LeafCalcStart]],Tasks[[#This Row],[_AlapShift]],WorkWeek,Holidays)))</f>
        <v/>
      </c>
      <c r="FA179" s="89" t="str">
        <f aca="false">IF(NOT(Tasks[[#This Row],[_IsLeaf]]=1),"",IF(Tasks[[#This Row],[_AlapShift]]=0,Tasks[[#This Row],[_LeafCalcFinish]],WORKDAY.INTL(Tasks[[#This Row],[_LeafCalcFinish]],Tasks[[#This Row],[_AlapShift]],WorkWeek,Holidays)))</f>
        <v/>
      </c>
      <c r="FB179" s="89" t="str">
        <f aca="false">IF(NOT(Tasks[[#This Row],[_IsLeaf]]=1),"",IF(Tasks[[#This Row],[_AlapShift]]=0,Tasks[[#This Row],[_LeafFcstStart]],WORKDAY.INTL(Tasks[[#This Row],[_LeafFcstStart]],Tasks[[#This Row],[_AlapShift]],WorkWeek,Holidays)))</f>
        <v/>
      </c>
      <c r="FC179" s="89" t="str">
        <f aca="false">IF(NOT(Tasks[[#This Row],[_IsLeaf]]=1),"",IF(Tasks[[#This Row],[_AlapShift]]=0,Tasks[[#This Row],[_LeafFcstFinish]],WORKDAY.INTL(Tasks[[#This Row],[_LeafFcstFinish]],Tasks[[#This Row],[_AlapShift]],WorkWeek,Holidays)))</f>
        <v/>
      </c>
      <c r="FD179" s="89" t="str">
        <f aca="false">IF(Tasks[[#This Row],[Task Name]]="","",IF(Tasks[[#This Row],[_IsSummary]],MIN(INDEX(Tasks[_ShownCalcStart],Tasks[[#This Row],[_Row]]+1):INDEX(Tasks[_ShownCalcStart],Tasks[[#This Row],[_Row]]+Tasks[[#This Row],[_Descendants]])),Tasks[[#This Row],[_ShownCalcStart]]))</f>
        <v/>
      </c>
      <c r="FE179" s="89" t="str">
        <f aca="false">IF(Tasks[[#This Row],[Task Name]]="","",IF(Tasks[[#This Row],[_IsSummary]],MAX(INDEX(Tasks[_ShownCalcFinish],Tasks[[#This Row],[_Row]]+1):INDEX(Tasks[_ShownCalcFinish],Tasks[[#This Row],[_Row]]+Tasks[[#This Row],[_Descendants]])),Tasks[[#This Row],[_ShownCalcFinish]]))</f>
        <v/>
      </c>
      <c r="FF1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9" s="42" t="n">
        <f aca="false">IF(AND(Tasks[[#This Row],[_IsLeaf]]=1,Tasks[[#This Row],[_LeafTotalWork]]&gt;0),NETWORKDAYS.INTL(ProjectStart,Tasks[[#This Row],[_ShownFcstStart]],WorkWeek,Holidays),0)</f>
        <v>0</v>
      </c>
      <c r="FS179" s="42" t="n">
        <f aca="false">IF(AND(Tasks[[#This Row],[_IsLeaf]]=1,Tasks[[#This Row],[_LeafTotalWork]]&gt;0),MAX(Tasks[[#This Row],[_StartWorkday]],NETWORKDAYS.INTL(ProjectStart,Tasks[[#This Row],[_ShownFcstFinish]],WorkWeek,Holidays)),0)</f>
        <v>0</v>
      </c>
      <c r="FT179" s="42" t="n">
        <f aca="false">IF(AND(Tasks[[#This Row],[_IsLeaf]]=1,Tasks[[#This Row],[_LeafTotalWork]]&gt;0),Tasks[[#This Row],[_LeafWork]]/(Tasks[[#This Row],[_FinishWorkday]]-Tasks[[#This Row],[_StartWorkday]]+1),0)</f>
        <v>0</v>
      </c>
      <c r="FU179" s="42" t="n">
        <f aca="false">Tasks[[#This Row],[_WorkPerWorkday]]*(Tasks[[#This Row],[_StartWorkday]]-1)</f>
        <v>-0</v>
      </c>
      <c r="FV179" s="42" t="n">
        <f aca="false">IF(Tasks[[#This Row],[_IsLeaf]]=1,MAX(N(Tasks[[#This Row],[_Days]]),0.1),0)</f>
        <v>0</v>
      </c>
      <c r="FW179" s="42" t="n">
        <f aca="false">Tasks[[#This Row],[_WeightDur]]*Tasks[[#This Row],[_LeafProgress]]</f>
        <v>0</v>
      </c>
      <c r="FX179" s="42" t="n">
        <f aca="false">Tasks[[#This Row],[_WeightDur]]*Tasks[[#This Row],[_PlannedPct]]</f>
        <v>0</v>
      </c>
      <c r="FY1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9" s="42" t="str">
        <f aca="false">IF(AND(Tasks[[#This Row],[_IsLeaf]]=1,N(Tasks[[#This Row],[_Days]])=0,Tasks[[#This Row],[_LeafProgress]]&lt;1),Tasks[[#This Row],[_ShownFcstFinish]]+Tasks[[#This Row],[_Row]]/100000,"")</f>
        <v/>
      </c>
      <c r="GA1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9" s="42" t="str">
        <f aca="false">IF(Tasks[[#This Row],[Task Name]]="","",LEFT(Tasks[[#This Row],[WBS]],FIND(".",Tasks[[#This Row],[WBS]]&amp;".")-1))</f>
        <v/>
      </c>
      <c r="GC179" s="42" t="str">
        <f aca="false">IF(AND(Tasks[[#This Row],[Task Name]]&lt;&gt;"",Tasks[[#This Row],[_Level]]=1),Tasks[[#This Row],[_Row]],"")</f>
        <v/>
      </c>
      <c r="GD179" s="42" t="str">
        <f aca="false">IF(AND(Tasks[[#This Row],[_IsLeaf]]=1,N(Tasks[[#This Row],[_Days]])=0),Tasks[[#This Row],[Planned Finish]]+Tasks[[#This Row],[_Row]]/100000,"")</f>
        <v/>
      </c>
      <c r="GE179" s="42" t="str">
        <f aca="false">IF(AND(Tasks[[#This Row],[_IsLeaf]]=1,Tasks[[#This Row],[_LeafProgress]]&lt;1,OR(N(Tasks[[#This Row],[Finish Var]])&gt;0,Tasks[[#This Row],[Status]]="Late Start")),MAX(0,Tasks[[#This Row],[Finish Var]])+1-Tasks[[#This Row],[_Row]]/1000000,"")</f>
        <v/>
      </c>
      <c r="GF179" s="42" t="str">
        <f aca="false">IF(AND(Tasks[[#This Row],[_IsLeaf]]=1,N(Tasks[[#This Row],[Actual Start]])=0,Tasks[[#This Row],[_ShownFcstStart]]&gt;=StatusDate,Tasks[[#This Row],[_ShownFcstStart]]&lt;=LookaheadEnd),Tasks[[#This Row],[_ShownFcstStart]]+Tasks[[#This Row],[_Row]]/100000,"")</f>
        <v/>
      </c>
      <c r="GG179" s="42" t="str">
        <f aca="false">IF(AND(Tasks[[#This Row],[_IsLeaf]]=1,Tasks[[#This Row],[_LeafProgress]]&lt;1,Tasks[[#This Row],[_ShownFcstFinish]]&gt;=StatusDate,Tasks[[#This Row],[_ShownFcstFinish]]&lt;=LookaheadEnd),Tasks[[#This Row],[_ShownFcstFinish]]+Tasks[[#This Row],[_Row]]/100000,"")</f>
        <v/>
      </c>
      <c r="GH179" s="42" t="str">
        <f aca="false">IF(Tasks[[#This Row],[_LeafCritical]],Tasks[[#This Row],[_ShownFcstStart]]+Tasks[[#This Row],[_Row]]/100000,"")</f>
        <v/>
      </c>
      <c r="GI179" s="42" t="n">
        <f aca="false">Tasks[[#This Row],[_LeafWork]]*Tasks[[#This Row],[_LeafProgress]]</f>
        <v>0</v>
      </c>
      <c r="GJ179" s="89" t="str">
        <f aca="false">IF(AND(Tasks[[#This Row],[_IsLeaf]]=1,Tasks[[#This Row],[_LeafProgress]]&gt;=1),IF(N(Tasks[[#This Row],[Actual Finish]])&gt;0,Tasks[[#This Row],[Actual Finish]],Tasks[[#This Row],[_ShownFcstFinish]]),"")</f>
        <v/>
      </c>
      <c r="GK179" s="42" t="n">
        <f aca="false">IF(Tasks[[#This Row],[_IsLeaf]]=1,N(Tasks[[#This Row],[Story Points]]),0)</f>
        <v>0</v>
      </c>
      <c r="GL179" s="42" t="str">
        <f aca="false">""</f>
        <v/>
      </c>
      <c r="GM179" s="88" t="b">
        <f aca="false">IF(Tasks[[#This Row],[Task Name]]="",FALSE(),AND(Tasks[[#This Row],[_IsLeaf]]=1,N(Tasks[[#This Row],[_Days]])=0))</f>
        <v>0</v>
      </c>
      <c r="GN179" s="89" t="n">
        <f aca="false">IF(Tasks[[#This Row],[Task Name]]="",0,IF(AND(Tasks[[#This Row],[_IsLeaf]]=1,NOT(Tasks[[#This Row],[_IsMilestone]]),N(Tasks[[#This Row],[Progress]])&gt;0),Tasks[[#This Row],[Start]],0))</f>
        <v>0</v>
      </c>
      <c r="GO179" s="89" t="n">
        <f aca="false">IF(Tasks[[#This Row],[_DoneFrom]]=0,0,IF(Tasks[[#This Row],[Progress]]&gt;=1,Tasks[[#This Row],[Finish]],MAX(Tasks[[#This Row],[_DoneFrom]],Tasks[[#This Row],[Start]]+ROUND((Tasks[[#This Row],[Finish]]-Tasks[[#This Row],[Start]]+1)*Tasks[[#This Row],[Progress]],0)-1)))</f>
        <v>0</v>
      </c>
      <c r="GP179" s="89" t="n">
        <f aca="false">IF(Tasks[[#This Row],[Task Name]]="",0,IF(OR(NOT(Tasks[[#This Row],[_IsLeaf]]=1),Tasks[[#This Row],[_IsMilestone]],N(Tasks[[#This Row],[Progress]])&gt;=1),0,IF(Tasks[[#This Row],[_DoneTo]]&gt;0,Tasks[[#This Row],[_DoneTo]]+1,Tasks[[#This Row],[Start]])))</f>
        <v>0</v>
      </c>
      <c r="GQ179" s="89" t="n">
        <f aca="false">IF(Tasks[[#This Row],[_RemFrom]]=0,0,Tasks[[#This Row],[Finish]])</f>
        <v>0</v>
      </c>
      <c r="GR179" s="88" t="b">
        <f aca="false">IF(Tasks[[#This Row],[Task Name]]="",FALSE(),OR(NOT(BaselineSet),N(Tasks[[#This Row],[Baseline Start]])&gt;0))</f>
        <v>0</v>
      </c>
      <c r="GS1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9" s="90" t="str">
        <f aca="false">IF(Tasks[[#This Row],[_IsLeaf]]=1,Tasks[[#This Row],[_Row]],"")</f>
        <v/>
      </c>
      <c r="GW179" s="90" t="str">
        <f aca="false">IFERROR(INDEX(Tasks[UID],SMALL(Tasks[_PickKey],Tasks[[#This Row],[_Row]]))&amp;" "&amp;INDEX(Tasks[Task Name],SMALL(Tasks[_PickKey],Tasks[[#This Row],[_Row]])),"")</f>
        <v/>
      </c>
      <c r="GX179" s="42" t="str">
        <f aca="false">IF(Tasks[[#This Row],[Task Name]]="","",IF(Tasks[[#This Row],[_IsSummary]],NETWORKDAYS.INTL(Tasks[[#This Row],[Start]],Tasks[[#This Row],[Finish]],WorkWeek,Holidays),N(Tasks[[#This Row],[_Days]])))</f>
        <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3"/>
      <c r="U180" s="23"/>
      <c r="V180" s="83"/>
      <c r="W180" s="23"/>
      <c r="X180" s="83"/>
      <c r="Y180" s="23"/>
      <c r="Z180" s="83"/>
      <c r="AA180" s="23"/>
      <c r="AB180" s="23"/>
      <c r="AC180" s="7"/>
      <c r="AD180" s="7"/>
      <c r="AE180" s="62" t="str">
        <f aca="false">IF(Tasks[[#This Row],[Task Name]]="","",IF(Tasks[[#This Row],[_IsSummary]],MIN(INDEX(Tasks[_ShownFcstStart],Tasks[[#This Row],[_Row]]+1):INDEX(Tasks[_ShownFcstStart],Tasks[[#This Row],[_Row]]+Tasks[[#This Row],[_Descendants]])),Tasks[[#This Row],[_ShownFcstStart]]))</f>
        <v/>
      </c>
      <c r="AF180" s="62"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0" s="7"/>
      <c r="AK180" s="22"/>
      <c r="AL180" s="23"/>
      <c r="AM180" s="7"/>
      <c r="AN180" s="46"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2" t="str">
        <f aca="false">IF(Tasks[[#This Row],[Task Name]]="","",IF(N(Tasks[[#This Row],[Baseline Start]])&gt;0,Tasks[[#This Row],[Baseline Start]],Tasks[[#This Row],[_CalcStart]]))</f>
        <v/>
      </c>
      <c r="AR180" s="62" t="str">
        <f aca="false">IF(Tasks[[#This Row],[Task Name]]="","",IF(N(Tasks[[#This Row],[Baseline Finish]])&gt;0,Tasks[[#This Row],[Baseline Finish]],Tasks[[#This Row],[_CalcFinish]]))</f>
        <v/>
      </c>
      <c r="AS180" s="46" t="str">
        <f aca="false">IF(Tasks[[#This Row],[Task Name]]="","",IF(Tasks[[#This Row],[Start]]&gt;=Tasks[[#This Row],[Planned Start]],NETWORKDAYS.INTL(Tasks[[#This Row],[Planned Start]],Tasks[[#This Row],[Start]],WorkWeek,Holidays)-1,1-NETWORKDAYS.INTL(Tasks[[#This Row],[Start]],Tasks[[#This Row],[Planned Start]],WorkWeek,Holidays)))</f>
        <v/>
      </c>
      <c r="AT180" s="62" t="str">
        <f aca="false">IF(Tasks[[#This Row],[Task Name]]="","",IF(Tasks[[#This Row],[_IsSummary]],MIN(INDEX(Tasks[_LeafLateStart],Tasks[[#This Row],[_Row]]+1):INDEX(Tasks[_LeafLateStart],Tasks[[#This Row],[_Row]]+Tasks[[#This Row],[_Descendants]])),Tasks[[#This Row],[_LeafLateStart]]))</f>
        <v/>
      </c>
      <c r="AU180" s="62" t="str">
        <f aca="false">IF(Tasks[[#This Row],[Task Name]]="","",IF(Tasks[[#This Row],[_IsSummary]],MAX(INDEX(Tasks[_LeafLateFinish],Tasks[[#This Row],[_Row]]+1):INDEX(Tasks[_LeafLateFinish],Tasks[[#This Row],[_Row]]+Tasks[[#This Row],[_Descendants]])),Tasks[[#This Row],[_LeafLateFinish]]))</f>
        <v/>
      </c>
      <c r="AV180" s="46"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4"/>
      <c r="BA1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5"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6"/>
      <c r="BJ180" s="22"/>
      <c r="BK180" s="46" t="str">
        <f aca="false">IF(OR(Tasks[[#This Row],[Task Name]]="",Tasks[[#This Row],[Baseline Duration]]=""),"",Tasks[[#This Row],[_SpanDays]]-N(Tasks[[#This Row],[Baseline Duration]]))</f>
        <v/>
      </c>
      <c r="BL180" s="85" t="str">
        <f aca="false">IF(OR(Tasks[[#This Row],[Task Name]]="",Tasks[[#This Row],[Baseline Work]]=""),"",Tasks[[#This Row],[Work]]-N(Tasks[[#This Row],[Baseline Work]]))</f>
        <v/>
      </c>
      <c r="BM180" s="62" t="str">
        <f aca="false">IF(Tasks[[#This Row],[Task Name]]="","",IF(OR(TakeBaseline="Yes",N(Tasks[[#This Row],[Baseline Start]])=0),Tasks[[#This Row],[Start]],Tasks[[#This Row],[Baseline Start]]))</f>
        <v/>
      </c>
      <c r="BN180" s="62"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5" t="str">
        <f aca="false">IF(Tasks[[#This Row],[Task Name]]="","",IF(OR(TakeBaseline="Yes",N(Tasks[[#This Row],[Baseline Work]])=0),Tasks[[#This Row],[Work]],Tasks[[#This Row],[Baseline Work]]))</f>
        <v/>
      </c>
      <c r="BQ180" s="7"/>
      <c r="BR180" s="7"/>
      <c r="BS180" s="22"/>
      <c r="BT180" s="87"/>
      <c r="BU180" s="42" t="str">
        <f aca="false">IF(Tasks[[#This Row],[Task Name]]="","",MAX(1,N(Tasks[[#This Row],[Level]])))</f>
        <v/>
      </c>
      <c r="BV180" s="42" t="n">
        <f aca="false">ROW()-ROW(Tasks[[#Headers],[ID]])</f>
        <v>175</v>
      </c>
      <c r="BW180" s="42" t="n">
        <f aca="false">IF(OR(Tasks[[#This Row],[Task Name]]="",Tasks[[#This Row],[_Level]]&lt;=1),0,IFERROR(LOOKUP(2,1/(Tasks[[#Headers],[_Level]]:Tasks[[#This Row],[_Level]]=Tasks[[#This Row],[_Level]]-1),ROW(Tasks[[#Headers],[_Level]]:Tasks[[#This Row],[_Level]])),0))</f>
        <v>0</v>
      </c>
      <c r="BX180" s="42" t="n">
        <f aca="false">IFERROR(N(INDEX(Tasks[_Level],Tasks[[#This Row],[_Row]]+1)),0)</f>
        <v>0</v>
      </c>
      <c r="BY180" s="88" t="b">
        <f aca="false">AND(Tasks[[#This Row],[Task Name]]&lt;&gt;"",Tasks[[#This Row],[_NextLevel]]&gt;Tasks[[#This Row],[_Level]])</f>
        <v>0</v>
      </c>
      <c r="BZ180" s="42" t="n">
        <f aca="false">IF(Tasks[[#This Row],[_IsSummary]],COUNTIF(Tasks[WBS],Tasks[[#This Row],[WBS]]&amp;".*"),0)</f>
        <v>0</v>
      </c>
      <c r="CA180" s="42" t="n">
        <f aca="false">IF(AND(Tasks[[#This Row],[Task Name]]&lt;&gt;"",NOT(Tasks[[#This Row],[_IsSummary]])),1,0)</f>
        <v>0</v>
      </c>
      <c r="CB180" s="42" t="n">
        <f aca="false">IF(N(Tasks[[#This Row],[_Pred1UID]])=0,0,IFERROR(MATCH(Tasks[[#This Row],[_Pred1UID]],Tasks[UID],0),-1))</f>
        <v>0</v>
      </c>
      <c r="CC180" s="42" t="n">
        <f aca="false">IF(N(Tasks[[#This Row],[_Pred2UID]])=0,0,IFERROR(MATCH(Tasks[[#This Row],[_Pred2UID]],Tasks[UID],0),-1))</f>
        <v>0</v>
      </c>
      <c r="CD180" s="42" t="n">
        <f aca="false">IF(N(Tasks[[#This Row],[_Pred3UID]])=0,0,IFERROR(MATCH(Tasks[[#This Row],[_Pred3UID]],Tasks[UID],0),-1))</f>
        <v>0</v>
      </c>
      <c r="CE180" s="42" t="n">
        <f aca="false">IF(N(Tasks[[#This Row],[_Pred4UID]])=0,0,IFERROR(MATCH(Tasks[[#This Row],[_Pred4UID]],Tasks[UID],0),-1))</f>
        <v>0</v>
      </c>
      <c r="CF1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0" s="89" t="n">
        <f aca="false">IF(OR(Tasks[[#This Row],[_ConstraintCode]]=2,Tasks[[#This Row],[_ConstraintCode]]=3,Tasks[[#This Row],[_ConstraintCode]]=4,Tasks[[#This Row],[_ConstraintCode]]=6),Tasks[[#This Row],[_ConstraintStart]],0)</f>
        <v>0</v>
      </c>
      <c r="CI180" s="89" t="n">
        <f aca="false">IF(OR(Tasks[[#This Row],[_ConstraintCode]]=2,Tasks[[#This Row],[_ConstraintCode]]=3,Tasks[[#This Row],[_ConstraintCode]]=5,Tasks[[#This Row],[_ConstraintCode]]=7),Tasks[[#This Row],[_ConstraintStart]],2958465)</f>
        <v>2958465</v>
      </c>
      <c r="CJ1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0" s="89" t="str">
        <f aca="false">IF(NOT(Tasks[[#This Row],[_IsLeaf]]=1),"",IF(N(Tasks[[#This Row],[_Days]])&lt;=0,Tasks[[#This Row],[_LeafCalcStart]],WORKDAY.INTL(Tasks[[#This Row],[_LeafCalcStart]],Tasks[[#This Row],[_Days]]-1,WorkWeek,Holidays)))</f>
        <v/>
      </c>
      <c r="CL1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0" s="42" t="str">
        <f aca="false">IF(Tasks[[#This Row],[_Predecessors]]="","",TRIM(MID(SUBSTITUTE(SUBSTITUTE(SUBSTITUTE(UPPER(Tasks[[#This Row],[_Predecessors]]),";",",")," ",""),",",REPT(" ",99)),1,99)))</f>
        <v/>
      </c>
      <c r="CO180" s="42" t="str">
        <f aca="false">IF(Tasks[[#This Row],[_Pred1Text]]="","",IFERROR(VALUE(LEFT(Tasks[[#This Row],[_Pred1Text]],MIN(FIND("F",Tasks[[#This Row],[_Pred1Text]]&amp;"F"),FIND("S",Tasks[[#This Row],[_Pred1Text]]&amp;"S"),FIND("+",Tasks[[#This Row],[_Pred1Text]]&amp;"+"),FIND("-",Tasks[[#This Row],[_Pred1Text]]&amp;"-"))-1)),""))</f>
        <v/>
      </c>
      <c r="CP1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0" s="42" t="str">
        <f aca="false">IF(Tasks[[#This Row],[_Pred1Text]]="","",TRIM(MID(SUBSTITUTE(SUBSTITUTE(SUBSTITUTE(UPPER(Tasks[[#This Row],[_Predecessors]]),";",",")," ",""),",",REPT(" ",99)),100,99)))</f>
        <v/>
      </c>
      <c r="CS180" s="42" t="str">
        <f aca="false">IF(Tasks[[#This Row],[_Pred2Text]]="","",IFERROR(VALUE(LEFT(Tasks[[#This Row],[_Pred2Text]],MIN(FIND("F",Tasks[[#This Row],[_Pred2Text]]&amp;"F"),FIND("S",Tasks[[#This Row],[_Pred2Text]]&amp;"S"),FIND("+",Tasks[[#This Row],[_Pred2Text]]&amp;"+"),FIND("-",Tasks[[#This Row],[_Pred2Text]]&amp;"-"))-1)),""))</f>
        <v/>
      </c>
      <c r="CT1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0" s="42" t="str">
        <f aca="false">IF(Tasks[[#This Row],[_Pred2Text]]="","",TRIM(MID(SUBSTITUTE(SUBSTITUTE(SUBSTITUTE(UPPER(Tasks[[#This Row],[_Predecessors]]),";",",")," ",""),",",REPT(" ",99)),199,99)))</f>
        <v/>
      </c>
      <c r="CW180" s="42" t="str">
        <f aca="false">IF(Tasks[[#This Row],[_Pred3Text]]="","",IFERROR(VALUE(LEFT(Tasks[[#This Row],[_Pred3Text]],MIN(FIND("F",Tasks[[#This Row],[_Pred3Text]]&amp;"F"),FIND("S",Tasks[[#This Row],[_Pred3Text]]&amp;"S"),FIND("+",Tasks[[#This Row],[_Pred3Text]]&amp;"+"),FIND("-",Tasks[[#This Row],[_Pred3Text]]&amp;"-"))-1)),""))</f>
        <v/>
      </c>
      <c r="CX1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0" s="42" t="str">
        <f aca="false">IF(Tasks[[#This Row],[_Pred3Text]]="","",TRIM(MID(SUBSTITUTE(SUBSTITUTE(SUBSTITUTE(UPPER(Tasks[[#This Row],[_Predecessors]]),";",",")," ",""),",",REPT(" ",99)),298,99)))</f>
        <v/>
      </c>
      <c r="DA180" s="42" t="str">
        <f aca="false">IF(Tasks[[#This Row],[_Pred4Text]]="","",IFERROR(VALUE(LEFT(Tasks[[#This Row],[_Pred4Text]],MIN(FIND("F",Tasks[[#This Row],[_Pred4Text]]&amp;"F"),FIND("S",Tasks[[#This Row],[_Pred4Text]]&amp;"S"),FIND("+",Tasks[[#This Row],[_Pred4Text]]&amp;"+"),FIND("-",Tasks[[#This Row],[_Pred4Text]]&amp;"-"))-1)),""))</f>
        <v/>
      </c>
      <c r="DB1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0" s="42" t="str">
        <f aca="false">IF(OR(Tasks[[#This Row],[Task Name]]="",Tasks[[#This Row],[_Resources]]=""),"",TRIM(MID(SUBSTITUTE(Tasks[[#This Row],[_Resources]],",",REPT(" ",99)),1,99)))</f>
        <v/>
      </c>
      <c r="DE180" s="42" t="str">
        <f aca="false">IF(Tasks[[#This Row],[_Res1Text]]="","",TRIM(MID(SUBSTITUTE(Tasks[[#This Row],[_Resources]],",",REPT(" ",99)),100,99)))</f>
        <v/>
      </c>
      <c r="DF180" s="42" t="str">
        <f aca="false">IF(Tasks[[#This Row],[_Res2Text]]="","",TRIM(MID(SUBSTITUTE(Tasks[[#This Row],[_Resources]],",",REPT(" ",99)),199,99)))</f>
        <v/>
      </c>
      <c r="DG180" s="42" t="str">
        <f aca="false">IF(Tasks[[#This Row],[_Res3Text]]="","",TRIM(MID(SUBSTITUTE(Tasks[[#This Row],[_Resources]],",",REPT(" ",99)),298,99)))</f>
        <v/>
      </c>
      <c r="DH180" s="42" t="n">
        <f aca="false">IF(Tasks[[#This Row],[_Res1Text]]="",0,IFERROR(MATCH(TRIM(LEFT(Tasks[[#This Row],[_Res1Text]],FIND("[",Tasks[[#This Row],[_Res1Text]]&amp;"[")-1)),res_Name,0),IFERROR(MATCH(TRIM(LEFT(Tasks[[#This Row],[_Res1Text]],FIND("[",Tasks[[#This Row],[_Res1Text]]&amp;"[")-1)),res_Initials,0),0)))</f>
        <v>0</v>
      </c>
      <c r="DI180" s="42" t="n">
        <f aca="false">IF(Tasks[[#This Row],[_Res2Text]]="",0,IFERROR(MATCH(TRIM(LEFT(Tasks[[#This Row],[_Res2Text]],FIND("[",Tasks[[#This Row],[_Res2Text]]&amp;"[")-1)),res_Name,0),IFERROR(MATCH(TRIM(LEFT(Tasks[[#This Row],[_Res2Text]],FIND("[",Tasks[[#This Row],[_Res2Text]]&amp;"[")-1)),res_Initials,0),0)))</f>
        <v>0</v>
      </c>
      <c r="DJ180" s="42" t="n">
        <f aca="false">IF(Tasks[[#This Row],[_Res3Text]]="",0,IFERROR(MATCH(TRIM(LEFT(Tasks[[#This Row],[_Res3Text]],FIND("[",Tasks[[#This Row],[_Res3Text]]&amp;"[")-1)),res_Name,0),IFERROR(MATCH(TRIM(LEFT(Tasks[[#This Row],[_Res3Text]],FIND("[",Tasks[[#This Row],[_Res3Text]]&amp;"[")-1)),res_Initials,0),0)))</f>
        <v>0</v>
      </c>
      <c r="DK180" s="42" t="n">
        <f aca="false">IF(Tasks[[#This Row],[_Res4Text]]="",0,IFERROR(MATCH(TRIM(LEFT(Tasks[[#This Row],[_Res4Text]],FIND("[",Tasks[[#This Row],[_Res4Text]]&amp;"[")-1)),res_Name,0),IFERROR(MATCH(TRIM(LEFT(Tasks[[#This Row],[_Res4Text]],FIND("[",Tasks[[#This Row],[_Res4Text]]&amp;"[")-1)),res_Initials,0),0)))</f>
        <v>0</v>
      </c>
      <c r="DL180" s="42" t="str">
        <f aca="false">IF(Tasks[[#This Row],[_Res1Text]]="","",IF(Tasks[[#This Row],[_Res1Row]]&gt;0,INDEX(res_Name,Tasks[[#This Row],[_Res1Row]]),TRIM(LEFT(Tasks[[#This Row],[_Res1Text]],FIND("[",Tasks[[#This Row],[_Res1Text]]&amp;"[")-1))))</f>
        <v/>
      </c>
      <c r="DM1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0" s="42" t="n">
        <f aca="false">IF(NOT(Tasks[[#This Row],[_IsLeaf]]=1),0,(Tasks[[#This Row],[_Resource1]]&lt;&gt;"")+(Tasks[[#This Row],[_Res2]]&lt;&gt;"")+(Tasks[[#This Row],[_Res3]]&lt;&gt;"")+(Tasks[[#This Row],[_Res4]]&lt;&gt;""))</f>
        <v>0</v>
      </c>
      <c r="DO180" s="42" t="str">
        <f aca="false">IF(Tasks[[#This Row],[_Res2Text]]="","",IF(Tasks[[#This Row],[_Res2Row]]&gt;0,INDEX(res_Name,Tasks[[#This Row],[_Res2Row]]),TRIM(LEFT(Tasks[[#This Row],[_Res2Text]],FIND("[",Tasks[[#This Row],[_Res2Text]]&amp;"[")-1))))</f>
        <v/>
      </c>
      <c r="DP1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0" s="42" t="n">
        <f aca="false">IF(OR(NOT(Tasks[[#This Row],[_IsLeaf]]=1),Tasks[[#This Row],[_Res2Row]]=0),0,N(Tasks[[#This Row],[_Days]])*HoursPerDay*IF(Tasks[[#This Row],[_Res2Units]]="",DefaultUnits,Tasks[[#This Row],[_Res2Units]]))</f>
        <v>0</v>
      </c>
      <c r="DR180" s="42" t="n">
        <f aca="false">IF(AND(AND(Tasks[[#This Row],[_IsLeaf]]=1,Tasks[[#This Row],[_LeafTotalWork]]&gt;0),Tasks[[#This Row],[_Res2Work]]&gt;0),Tasks[[#This Row],[_Res2Work]]/(Tasks[[#This Row],[_FinishWorkday]]-Tasks[[#This Row],[_StartWorkday]]+1),0)</f>
        <v>0</v>
      </c>
      <c r="DS180" s="42" t="n">
        <f aca="false">Tasks[[#This Row],[_Res2WorkPerWD]]*MAX(0,Tasks[[#This Row],[_StartWorkday]]-1)</f>
        <v>0</v>
      </c>
      <c r="DT180" s="42" t="n">
        <f aca="false">Tasks[[#This Row],[_Res2Work]]*Tasks[[#This Row],[_LeafProgress]]</f>
        <v>0</v>
      </c>
      <c r="DU180" s="42" t="str">
        <f aca="false">IF(Tasks[[#This Row],[_Res3Text]]="","",IF(Tasks[[#This Row],[_Res3Row]]&gt;0,INDEX(res_Name,Tasks[[#This Row],[_Res3Row]]),TRIM(LEFT(Tasks[[#This Row],[_Res3Text]],FIND("[",Tasks[[#This Row],[_Res3Text]]&amp;"[")-1))))</f>
        <v/>
      </c>
      <c r="DV1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0" s="42" t="n">
        <f aca="false">IF(OR(NOT(Tasks[[#This Row],[_IsLeaf]]=1),Tasks[[#This Row],[_Res3Row]]=0),0,N(Tasks[[#This Row],[_Days]])*HoursPerDay*IF(Tasks[[#This Row],[_Res3Units]]="",DefaultUnits,Tasks[[#This Row],[_Res3Units]]))</f>
        <v>0</v>
      </c>
      <c r="DX180" s="42" t="n">
        <f aca="false">IF(AND(AND(Tasks[[#This Row],[_IsLeaf]]=1,Tasks[[#This Row],[_LeafTotalWork]]&gt;0),Tasks[[#This Row],[_Res3Work]]&gt;0),Tasks[[#This Row],[_Res3Work]]/(Tasks[[#This Row],[_FinishWorkday]]-Tasks[[#This Row],[_StartWorkday]]+1),0)</f>
        <v>0</v>
      </c>
      <c r="DY180" s="42" t="n">
        <f aca="false">Tasks[[#This Row],[_Res3WorkPerWD]]*MAX(0,Tasks[[#This Row],[_StartWorkday]]-1)</f>
        <v>0</v>
      </c>
      <c r="DZ180" s="42" t="n">
        <f aca="false">Tasks[[#This Row],[_Res3Work]]*Tasks[[#This Row],[_LeafProgress]]</f>
        <v>0</v>
      </c>
      <c r="EA180" s="42" t="str">
        <f aca="false">IF(Tasks[[#This Row],[_Res4Text]]="","",IF(Tasks[[#This Row],[_Res4Row]]&gt;0,INDEX(res_Name,Tasks[[#This Row],[_Res4Row]]),TRIM(LEFT(Tasks[[#This Row],[_Res4Text]],FIND("[",Tasks[[#This Row],[_Res4Text]]&amp;"[")-1))))</f>
        <v/>
      </c>
      <c r="EB1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0" s="42" t="n">
        <f aca="false">IF(OR(NOT(Tasks[[#This Row],[_IsLeaf]]=1),Tasks[[#This Row],[_Res4Row]]=0),0,N(Tasks[[#This Row],[_Days]])*HoursPerDay*IF(Tasks[[#This Row],[_Res4Units]]="",DefaultUnits,Tasks[[#This Row],[_Res4Units]]))</f>
        <v>0</v>
      </c>
      <c r="ED180" s="42" t="n">
        <f aca="false">IF(AND(AND(Tasks[[#This Row],[_IsLeaf]]=1,Tasks[[#This Row],[_LeafTotalWork]]&gt;0),Tasks[[#This Row],[_Res4Work]]&gt;0),Tasks[[#This Row],[_Res4Work]]/(Tasks[[#This Row],[_FinishWorkday]]-Tasks[[#This Row],[_StartWorkday]]+1),0)</f>
        <v>0</v>
      </c>
      <c r="EE180" s="42" t="n">
        <f aca="false">Tasks[[#This Row],[_Res4WorkPerWD]]*MAX(0,Tasks[[#This Row],[_StartWorkday]]-1)</f>
        <v>0</v>
      </c>
      <c r="EF180" s="42" t="n">
        <f aca="false">Tasks[[#This Row],[_Res4Work]]*Tasks[[#This Row],[_LeafProgress]]</f>
        <v>0</v>
      </c>
      <c r="EG180" s="42" t="n">
        <f aca="false">IF(ISNUMBER(Tasks[[#This Row],[% Complete]]),Tasks[[#This Row],[% Complete]],IF(Tasks[[#This Row],[Stage]]="",0,IFERROR(INDEX(stg_Pct,MATCH(Tasks[[#This Row],[Stage]],stg_Name,0)),0)))</f>
        <v>0</v>
      </c>
      <c r="EH180" s="42" t="n">
        <f aca="false">IF(NOT(Tasks[[#This Row],[_IsLeaf]]=1),0,IF(N(Tasks[[#This Row],[Actual Finish]])&gt;0,1,MIN(1,Tasks[[#This Row],[_Pct]])))</f>
        <v>0</v>
      </c>
      <c r="EI180" s="42" t="n">
        <f aca="false">IF(OR(NOT(Tasks[[#This Row],[_IsLeaf]]=1),Tasks[[#This Row],[_Res1Row]]=0),0,N(Tasks[[#This Row],[_Days]])*HoursPerDay*IF(Tasks[[#This Row],[_Units1]]="",DefaultUnits,Tasks[[#This Row],[_Units1]]))</f>
        <v>0</v>
      </c>
      <c r="EJ180" s="42" t="n">
        <f aca="false">Tasks[[#This Row],[_LeafWork]]+Tasks[[#This Row],[_Res2Work]]+Tasks[[#This Row],[_Res3Work]]+Tasks[[#This Row],[_Res4Work]]</f>
        <v>0</v>
      </c>
      <c r="EK1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0" s="42" t="n">
        <f aca="false">IF(NOT(Tasks[[#This Row],[_IsLeaf]]=1),0,MAX(_xlfn.MAXIFS(Tasks[_Row],Tasks[_Pred1UID],Tasks[[#This Row],[UID]]),_xlfn.MAXIFS(Tasks[_Row],Tasks[_Pred2UID],Tasks[[#This Row],[UID]]),_xlfn.MAXIFS(Tasks[_Row],Tasks[_Pred3UID],Tasks[[#This Row],[UID]]),_xlfn.MAXIFS(Tasks[_Row],Tasks[_Pred4UID],Tasks[[#This Row],[UID]])))</f>
        <v>0</v>
      </c>
      <c r="ET1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0" s="89" t="str">
        <f aca="false">IF(NOT(Tasks[[#This Row],[_IsLeaf]]=1),"",IF(N(Tasks[[#This Row],[_Days]])&lt;=0,Tasks[[#This Row],[_LeafLateFinish]],WORKDAY.INTL(Tasks[[#This Row],[_LeafLateFinish]],-(Tasks[[#This Row],[_Days]]-1),WorkWeek,Holidays)))</f>
        <v/>
      </c>
      <c r="EW1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0" s="88" t="b">
        <f aca="false">AND(Tasks[[#This Row],[_IsLeaf]]=1,Tasks[[#This Row],[_LeafProgress]]&lt;1,N(Tasks[[#This Row],[_LeafTotalSlack]])&lt;=CriticalSlackDays)</f>
        <v>0</v>
      </c>
      <c r="EY180" s="42" t="n">
        <f aca="false">IF(AND(Tasks[[#This Row],[_IsLeaf]]=1,Tasks[[#This Row],[_ConstraintCode]]=1,Tasks[[#This Row],[Mode]]&lt;&gt;"Manual",N(Tasks[[#This Row],[Actual Start]])=0),MAX(0,N(Tasks[[#This Row],[Free Slack]])),0)</f>
        <v>0</v>
      </c>
      <c r="EZ180" s="89" t="str">
        <f aca="false">IF(NOT(Tasks[[#This Row],[_IsLeaf]]=1),"",IF(Tasks[[#This Row],[_AlapShift]]=0,Tasks[[#This Row],[_LeafCalcStart]],WORKDAY.INTL(Tasks[[#This Row],[_LeafCalcStart]],Tasks[[#This Row],[_AlapShift]],WorkWeek,Holidays)))</f>
        <v/>
      </c>
      <c r="FA180" s="89" t="str">
        <f aca="false">IF(NOT(Tasks[[#This Row],[_IsLeaf]]=1),"",IF(Tasks[[#This Row],[_AlapShift]]=0,Tasks[[#This Row],[_LeafCalcFinish]],WORKDAY.INTL(Tasks[[#This Row],[_LeafCalcFinish]],Tasks[[#This Row],[_AlapShift]],WorkWeek,Holidays)))</f>
        <v/>
      </c>
      <c r="FB180" s="89" t="str">
        <f aca="false">IF(NOT(Tasks[[#This Row],[_IsLeaf]]=1),"",IF(Tasks[[#This Row],[_AlapShift]]=0,Tasks[[#This Row],[_LeafFcstStart]],WORKDAY.INTL(Tasks[[#This Row],[_LeafFcstStart]],Tasks[[#This Row],[_AlapShift]],WorkWeek,Holidays)))</f>
        <v/>
      </c>
      <c r="FC180" s="89" t="str">
        <f aca="false">IF(NOT(Tasks[[#This Row],[_IsLeaf]]=1),"",IF(Tasks[[#This Row],[_AlapShift]]=0,Tasks[[#This Row],[_LeafFcstFinish]],WORKDAY.INTL(Tasks[[#This Row],[_LeafFcstFinish]],Tasks[[#This Row],[_AlapShift]],WorkWeek,Holidays)))</f>
        <v/>
      </c>
      <c r="FD180" s="89" t="str">
        <f aca="false">IF(Tasks[[#This Row],[Task Name]]="","",IF(Tasks[[#This Row],[_IsSummary]],MIN(INDEX(Tasks[_ShownCalcStart],Tasks[[#This Row],[_Row]]+1):INDEX(Tasks[_ShownCalcStart],Tasks[[#This Row],[_Row]]+Tasks[[#This Row],[_Descendants]])),Tasks[[#This Row],[_ShownCalcStart]]))</f>
        <v/>
      </c>
      <c r="FE180" s="89" t="str">
        <f aca="false">IF(Tasks[[#This Row],[Task Name]]="","",IF(Tasks[[#This Row],[_IsSummary]],MAX(INDEX(Tasks[_ShownCalcFinish],Tasks[[#This Row],[_Row]]+1):INDEX(Tasks[_ShownCalcFinish],Tasks[[#This Row],[_Row]]+Tasks[[#This Row],[_Descendants]])),Tasks[[#This Row],[_ShownCalcFinish]]))</f>
        <v/>
      </c>
      <c r="FF1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0" s="42" t="n">
        <f aca="false">IF(AND(Tasks[[#This Row],[_IsLeaf]]=1,Tasks[[#This Row],[_LeafTotalWork]]&gt;0),NETWORKDAYS.INTL(ProjectStart,Tasks[[#This Row],[_ShownFcstStart]],WorkWeek,Holidays),0)</f>
        <v>0</v>
      </c>
      <c r="FS180" s="42" t="n">
        <f aca="false">IF(AND(Tasks[[#This Row],[_IsLeaf]]=1,Tasks[[#This Row],[_LeafTotalWork]]&gt;0),MAX(Tasks[[#This Row],[_StartWorkday]],NETWORKDAYS.INTL(ProjectStart,Tasks[[#This Row],[_ShownFcstFinish]],WorkWeek,Holidays)),0)</f>
        <v>0</v>
      </c>
      <c r="FT180" s="42" t="n">
        <f aca="false">IF(AND(Tasks[[#This Row],[_IsLeaf]]=1,Tasks[[#This Row],[_LeafTotalWork]]&gt;0),Tasks[[#This Row],[_LeafWork]]/(Tasks[[#This Row],[_FinishWorkday]]-Tasks[[#This Row],[_StartWorkday]]+1),0)</f>
        <v>0</v>
      </c>
      <c r="FU180" s="42" t="n">
        <f aca="false">Tasks[[#This Row],[_WorkPerWorkday]]*(Tasks[[#This Row],[_StartWorkday]]-1)</f>
        <v>-0</v>
      </c>
      <c r="FV180" s="42" t="n">
        <f aca="false">IF(Tasks[[#This Row],[_IsLeaf]]=1,MAX(N(Tasks[[#This Row],[_Days]]),0.1),0)</f>
        <v>0</v>
      </c>
      <c r="FW180" s="42" t="n">
        <f aca="false">Tasks[[#This Row],[_WeightDur]]*Tasks[[#This Row],[_LeafProgress]]</f>
        <v>0</v>
      </c>
      <c r="FX180" s="42" t="n">
        <f aca="false">Tasks[[#This Row],[_WeightDur]]*Tasks[[#This Row],[_PlannedPct]]</f>
        <v>0</v>
      </c>
      <c r="FY1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0" s="42" t="str">
        <f aca="false">IF(AND(Tasks[[#This Row],[_IsLeaf]]=1,N(Tasks[[#This Row],[_Days]])=0,Tasks[[#This Row],[_LeafProgress]]&lt;1),Tasks[[#This Row],[_ShownFcstFinish]]+Tasks[[#This Row],[_Row]]/100000,"")</f>
        <v/>
      </c>
      <c r="GA1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0" s="42" t="str">
        <f aca="false">IF(Tasks[[#This Row],[Task Name]]="","",LEFT(Tasks[[#This Row],[WBS]],FIND(".",Tasks[[#This Row],[WBS]]&amp;".")-1))</f>
        <v/>
      </c>
      <c r="GC180" s="42" t="str">
        <f aca="false">IF(AND(Tasks[[#This Row],[Task Name]]&lt;&gt;"",Tasks[[#This Row],[_Level]]=1),Tasks[[#This Row],[_Row]],"")</f>
        <v/>
      </c>
      <c r="GD180" s="42" t="str">
        <f aca="false">IF(AND(Tasks[[#This Row],[_IsLeaf]]=1,N(Tasks[[#This Row],[_Days]])=0),Tasks[[#This Row],[Planned Finish]]+Tasks[[#This Row],[_Row]]/100000,"")</f>
        <v/>
      </c>
      <c r="GE180" s="42" t="str">
        <f aca="false">IF(AND(Tasks[[#This Row],[_IsLeaf]]=1,Tasks[[#This Row],[_LeafProgress]]&lt;1,OR(N(Tasks[[#This Row],[Finish Var]])&gt;0,Tasks[[#This Row],[Status]]="Late Start")),MAX(0,Tasks[[#This Row],[Finish Var]])+1-Tasks[[#This Row],[_Row]]/1000000,"")</f>
        <v/>
      </c>
      <c r="GF180" s="42" t="str">
        <f aca="false">IF(AND(Tasks[[#This Row],[_IsLeaf]]=1,N(Tasks[[#This Row],[Actual Start]])=0,Tasks[[#This Row],[_ShownFcstStart]]&gt;=StatusDate,Tasks[[#This Row],[_ShownFcstStart]]&lt;=LookaheadEnd),Tasks[[#This Row],[_ShownFcstStart]]+Tasks[[#This Row],[_Row]]/100000,"")</f>
        <v/>
      </c>
      <c r="GG180" s="42" t="str">
        <f aca="false">IF(AND(Tasks[[#This Row],[_IsLeaf]]=1,Tasks[[#This Row],[_LeafProgress]]&lt;1,Tasks[[#This Row],[_ShownFcstFinish]]&gt;=StatusDate,Tasks[[#This Row],[_ShownFcstFinish]]&lt;=LookaheadEnd),Tasks[[#This Row],[_ShownFcstFinish]]+Tasks[[#This Row],[_Row]]/100000,"")</f>
        <v/>
      </c>
      <c r="GH180" s="42" t="str">
        <f aca="false">IF(Tasks[[#This Row],[_LeafCritical]],Tasks[[#This Row],[_ShownFcstStart]]+Tasks[[#This Row],[_Row]]/100000,"")</f>
        <v/>
      </c>
      <c r="GI180" s="42" t="n">
        <f aca="false">Tasks[[#This Row],[_LeafWork]]*Tasks[[#This Row],[_LeafProgress]]</f>
        <v>0</v>
      </c>
      <c r="GJ180" s="89" t="str">
        <f aca="false">IF(AND(Tasks[[#This Row],[_IsLeaf]]=1,Tasks[[#This Row],[_LeafProgress]]&gt;=1),IF(N(Tasks[[#This Row],[Actual Finish]])&gt;0,Tasks[[#This Row],[Actual Finish]],Tasks[[#This Row],[_ShownFcstFinish]]),"")</f>
        <v/>
      </c>
      <c r="GK180" s="42" t="n">
        <f aca="false">IF(Tasks[[#This Row],[_IsLeaf]]=1,N(Tasks[[#This Row],[Story Points]]),0)</f>
        <v>0</v>
      </c>
      <c r="GL180" s="42" t="str">
        <f aca="false">""</f>
        <v/>
      </c>
      <c r="GM180" s="88" t="b">
        <f aca="false">IF(Tasks[[#This Row],[Task Name]]="",FALSE(),AND(Tasks[[#This Row],[_IsLeaf]]=1,N(Tasks[[#This Row],[_Days]])=0))</f>
        <v>0</v>
      </c>
      <c r="GN180" s="89" t="n">
        <f aca="false">IF(Tasks[[#This Row],[Task Name]]="",0,IF(AND(Tasks[[#This Row],[_IsLeaf]]=1,NOT(Tasks[[#This Row],[_IsMilestone]]),N(Tasks[[#This Row],[Progress]])&gt;0),Tasks[[#This Row],[Start]],0))</f>
        <v>0</v>
      </c>
      <c r="GO180" s="89" t="n">
        <f aca="false">IF(Tasks[[#This Row],[_DoneFrom]]=0,0,IF(Tasks[[#This Row],[Progress]]&gt;=1,Tasks[[#This Row],[Finish]],MAX(Tasks[[#This Row],[_DoneFrom]],Tasks[[#This Row],[Start]]+ROUND((Tasks[[#This Row],[Finish]]-Tasks[[#This Row],[Start]]+1)*Tasks[[#This Row],[Progress]],0)-1)))</f>
        <v>0</v>
      </c>
      <c r="GP180" s="89" t="n">
        <f aca="false">IF(Tasks[[#This Row],[Task Name]]="",0,IF(OR(NOT(Tasks[[#This Row],[_IsLeaf]]=1),Tasks[[#This Row],[_IsMilestone]],N(Tasks[[#This Row],[Progress]])&gt;=1),0,IF(Tasks[[#This Row],[_DoneTo]]&gt;0,Tasks[[#This Row],[_DoneTo]]+1,Tasks[[#This Row],[Start]])))</f>
        <v>0</v>
      </c>
      <c r="GQ180" s="89" t="n">
        <f aca="false">IF(Tasks[[#This Row],[_RemFrom]]=0,0,Tasks[[#This Row],[Finish]])</f>
        <v>0</v>
      </c>
      <c r="GR180" s="88" t="b">
        <f aca="false">IF(Tasks[[#This Row],[Task Name]]="",FALSE(),OR(NOT(BaselineSet),N(Tasks[[#This Row],[Baseline Start]])&gt;0))</f>
        <v>0</v>
      </c>
      <c r="GS1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0" s="90" t="str">
        <f aca="false">IF(Tasks[[#This Row],[_IsLeaf]]=1,Tasks[[#This Row],[_Row]],"")</f>
        <v/>
      </c>
      <c r="GW180" s="90" t="str">
        <f aca="false">IFERROR(INDEX(Tasks[UID],SMALL(Tasks[_PickKey],Tasks[[#This Row],[_Row]]))&amp;" "&amp;INDEX(Tasks[Task Name],SMALL(Tasks[_PickKey],Tasks[[#This Row],[_Row]])),"")</f>
        <v/>
      </c>
      <c r="GX180" s="42" t="str">
        <f aca="false">IF(Tasks[[#This Row],[Task Name]]="","",IF(Tasks[[#This Row],[_IsSummary]],NETWORKDAYS.INTL(Tasks[[#This Row],[Start]],Tasks[[#This Row],[Finish]],WorkWeek,Holidays),N(Tasks[[#This Row],[_Days]])))</f>
        <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3"/>
      <c r="U181" s="23"/>
      <c r="V181" s="83"/>
      <c r="W181" s="23"/>
      <c r="X181" s="83"/>
      <c r="Y181" s="23"/>
      <c r="Z181" s="83"/>
      <c r="AA181" s="23"/>
      <c r="AB181" s="23"/>
      <c r="AC181" s="7"/>
      <c r="AD181" s="7"/>
      <c r="AE181" s="62" t="str">
        <f aca="false">IF(Tasks[[#This Row],[Task Name]]="","",IF(Tasks[[#This Row],[_IsSummary]],MIN(INDEX(Tasks[_ShownFcstStart],Tasks[[#This Row],[_Row]]+1):INDEX(Tasks[_ShownFcstStart],Tasks[[#This Row],[_Row]]+Tasks[[#This Row],[_Descendants]])),Tasks[[#This Row],[_ShownFcstStart]]))</f>
        <v/>
      </c>
      <c r="AF181" s="62"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1" s="7"/>
      <c r="AK181" s="22"/>
      <c r="AL181" s="23"/>
      <c r="AM181" s="7"/>
      <c r="AN181" s="46"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2" t="str">
        <f aca="false">IF(Tasks[[#This Row],[Task Name]]="","",IF(N(Tasks[[#This Row],[Baseline Start]])&gt;0,Tasks[[#This Row],[Baseline Start]],Tasks[[#This Row],[_CalcStart]]))</f>
        <v/>
      </c>
      <c r="AR181" s="62" t="str">
        <f aca="false">IF(Tasks[[#This Row],[Task Name]]="","",IF(N(Tasks[[#This Row],[Baseline Finish]])&gt;0,Tasks[[#This Row],[Baseline Finish]],Tasks[[#This Row],[_CalcFinish]]))</f>
        <v/>
      </c>
      <c r="AS181" s="46" t="str">
        <f aca="false">IF(Tasks[[#This Row],[Task Name]]="","",IF(Tasks[[#This Row],[Start]]&gt;=Tasks[[#This Row],[Planned Start]],NETWORKDAYS.INTL(Tasks[[#This Row],[Planned Start]],Tasks[[#This Row],[Start]],WorkWeek,Holidays)-1,1-NETWORKDAYS.INTL(Tasks[[#This Row],[Start]],Tasks[[#This Row],[Planned Start]],WorkWeek,Holidays)))</f>
        <v/>
      </c>
      <c r="AT181" s="62" t="str">
        <f aca="false">IF(Tasks[[#This Row],[Task Name]]="","",IF(Tasks[[#This Row],[_IsSummary]],MIN(INDEX(Tasks[_LeafLateStart],Tasks[[#This Row],[_Row]]+1):INDEX(Tasks[_LeafLateStart],Tasks[[#This Row],[_Row]]+Tasks[[#This Row],[_Descendants]])),Tasks[[#This Row],[_LeafLateStart]]))</f>
        <v/>
      </c>
      <c r="AU181" s="62" t="str">
        <f aca="false">IF(Tasks[[#This Row],[Task Name]]="","",IF(Tasks[[#This Row],[_IsSummary]],MAX(INDEX(Tasks[_LeafLateFinish],Tasks[[#This Row],[_Row]]+1):INDEX(Tasks[_LeafLateFinish],Tasks[[#This Row],[_Row]]+Tasks[[#This Row],[_Descendants]])),Tasks[[#This Row],[_LeafLateFinish]]))</f>
        <v/>
      </c>
      <c r="AV181" s="46"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4"/>
      <c r="BA1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5"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6"/>
      <c r="BJ181" s="22"/>
      <c r="BK181" s="46" t="str">
        <f aca="false">IF(OR(Tasks[[#This Row],[Task Name]]="",Tasks[[#This Row],[Baseline Duration]]=""),"",Tasks[[#This Row],[_SpanDays]]-N(Tasks[[#This Row],[Baseline Duration]]))</f>
        <v/>
      </c>
      <c r="BL181" s="85" t="str">
        <f aca="false">IF(OR(Tasks[[#This Row],[Task Name]]="",Tasks[[#This Row],[Baseline Work]]=""),"",Tasks[[#This Row],[Work]]-N(Tasks[[#This Row],[Baseline Work]]))</f>
        <v/>
      </c>
      <c r="BM181" s="62" t="str">
        <f aca="false">IF(Tasks[[#This Row],[Task Name]]="","",IF(OR(TakeBaseline="Yes",N(Tasks[[#This Row],[Baseline Start]])=0),Tasks[[#This Row],[Start]],Tasks[[#This Row],[Baseline Start]]))</f>
        <v/>
      </c>
      <c r="BN181" s="62"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5" t="str">
        <f aca="false">IF(Tasks[[#This Row],[Task Name]]="","",IF(OR(TakeBaseline="Yes",N(Tasks[[#This Row],[Baseline Work]])=0),Tasks[[#This Row],[Work]],Tasks[[#This Row],[Baseline Work]]))</f>
        <v/>
      </c>
      <c r="BQ181" s="7"/>
      <c r="BR181" s="7"/>
      <c r="BS181" s="22"/>
      <c r="BT181" s="87"/>
      <c r="BU181" s="42" t="str">
        <f aca="false">IF(Tasks[[#This Row],[Task Name]]="","",MAX(1,N(Tasks[[#This Row],[Level]])))</f>
        <v/>
      </c>
      <c r="BV181" s="42" t="n">
        <f aca="false">ROW()-ROW(Tasks[[#Headers],[ID]])</f>
        <v>176</v>
      </c>
      <c r="BW181" s="42" t="n">
        <f aca="false">IF(OR(Tasks[[#This Row],[Task Name]]="",Tasks[[#This Row],[_Level]]&lt;=1),0,IFERROR(LOOKUP(2,1/(Tasks[[#Headers],[_Level]]:Tasks[[#This Row],[_Level]]=Tasks[[#This Row],[_Level]]-1),ROW(Tasks[[#Headers],[_Level]]:Tasks[[#This Row],[_Level]])),0))</f>
        <v>0</v>
      </c>
      <c r="BX181" s="42" t="n">
        <f aca="false">IFERROR(N(INDEX(Tasks[_Level],Tasks[[#This Row],[_Row]]+1)),0)</f>
        <v>0</v>
      </c>
      <c r="BY181" s="88" t="b">
        <f aca="false">AND(Tasks[[#This Row],[Task Name]]&lt;&gt;"",Tasks[[#This Row],[_NextLevel]]&gt;Tasks[[#This Row],[_Level]])</f>
        <v>0</v>
      </c>
      <c r="BZ181" s="42" t="n">
        <f aca="false">IF(Tasks[[#This Row],[_IsSummary]],COUNTIF(Tasks[WBS],Tasks[[#This Row],[WBS]]&amp;".*"),0)</f>
        <v>0</v>
      </c>
      <c r="CA181" s="42" t="n">
        <f aca="false">IF(AND(Tasks[[#This Row],[Task Name]]&lt;&gt;"",NOT(Tasks[[#This Row],[_IsSummary]])),1,0)</f>
        <v>0</v>
      </c>
      <c r="CB181" s="42" t="n">
        <f aca="false">IF(N(Tasks[[#This Row],[_Pred1UID]])=0,0,IFERROR(MATCH(Tasks[[#This Row],[_Pred1UID]],Tasks[UID],0),-1))</f>
        <v>0</v>
      </c>
      <c r="CC181" s="42" t="n">
        <f aca="false">IF(N(Tasks[[#This Row],[_Pred2UID]])=0,0,IFERROR(MATCH(Tasks[[#This Row],[_Pred2UID]],Tasks[UID],0),-1))</f>
        <v>0</v>
      </c>
      <c r="CD181" s="42" t="n">
        <f aca="false">IF(N(Tasks[[#This Row],[_Pred3UID]])=0,0,IFERROR(MATCH(Tasks[[#This Row],[_Pred3UID]],Tasks[UID],0),-1))</f>
        <v>0</v>
      </c>
      <c r="CE181" s="42" t="n">
        <f aca="false">IF(N(Tasks[[#This Row],[_Pred4UID]])=0,0,IFERROR(MATCH(Tasks[[#This Row],[_Pred4UID]],Tasks[UID],0),-1))</f>
        <v>0</v>
      </c>
      <c r="CF1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1" s="89" t="n">
        <f aca="false">IF(OR(Tasks[[#This Row],[_ConstraintCode]]=2,Tasks[[#This Row],[_ConstraintCode]]=3,Tasks[[#This Row],[_ConstraintCode]]=4,Tasks[[#This Row],[_ConstraintCode]]=6),Tasks[[#This Row],[_ConstraintStart]],0)</f>
        <v>0</v>
      </c>
      <c r="CI181" s="89" t="n">
        <f aca="false">IF(OR(Tasks[[#This Row],[_ConstraintCode]]=2,Tasks[[#This Row],[_ConstraintCode]]=3,Tasks[[#This Row],[_ConstraintCode]]=5,Tasks[[#This Row],[_ConstraintCode]]=7),Tasks[[#This Row],[_ConstraintStart]],2958465)</f>
        <v>2958465</v>
      </c>
      <c r="CJ1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1" s="89" t="str">
        <f aca="false">IF(NOT(Tasks[[#This Row],[_IsLeaf]]=1),"",IF(N(Tasks[[#This Row],[_Days]])&lt;=0,Tasks[[#This Row],[_LeafCalcStart]],WORKDAY.INTL(Tasks[[#This Row],[_LeafCalcStart]],Tasks[[#This Row],[_Days]]-1,WorkWeek,Holidays)))</f>
        <v/>
      </c>
      <c r="CL1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1" s="42" t="str">
        <f aca="false">IF(Tasks[[#This Row],[_Predecessors]]="","",TRIM(MID(SUBSTITUTE(SUBSTITUTE(SUBSTITUTE(UPPER(Tasks[[#This Row],[_Predecessors]]),";",",")," ",""),",",REPT(" ",99)),1,99)))</f>
        <v/>
      </c>
      <c r="CO181" s="42" t="str">
        <f aca="false">IF(Tasks[[#This Row],[_Pred1Text]]="","",IFERROR(VALUE(LEFT(Tasks[[#This Row],[_Pred1Text]],MIN(FIND("F",Tasks[[#This Row],[_Pred1Text]]&amp;"F"),FIND("S",Tasks[[#This Row],[_Pred1Text]]&amp;"S"),FIND("+",Tasks[[#This Row],[_Pred1Text]]&amp;"+"),FIND("-",Tasks[[#This Row],[_Pred1Text]]&amp;"-"))-1)),""))</f>
        <v/>
      </c>
      <c r="CP1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1" s="42" t="str">
        <f aca="false">IF(Tasks[[#This Row],[_Pred1Text]]="","",TRIM(MID(SUBSTITUTE(SUBSTITUTE(SUBSTITUTE(UPPER(Tasks[[#This Row],[_Predecessors]]),";",",")," ",""),",",REPT(" ",99)),100,99)))</f>
        <v/>
      </c>
      <c r="CS181" s="42" t="str">
        <f aca="false">IF(Tasks[[#This Row],[_Pred2Text]]="","",IFERROR(VALUE(LEFT(Tasks[[#This Row],[_Pred2Text]],MIN(FIND("F",Tasks[[#This Row],[_Pred2Text]]&amp;"F"),FIND("S",Tasks[[#This Row],[_Pred2Text]]&amp;"S"),FIND("+",Tasks[[#This Row],[_Pred2Text]]&amp;"+"),FIND("-",Tasks[[#This Row],[_Pred2Text]]&amp;"-"))-1)),""))</f>
        <v/>
      </c>
      <c r="CT1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1" s="42" t="str">
        <f aca="false">IF(Tasks[[#This Row],[_Pred2Text]]="","",TRIM(MID(SUBSTITUTE(SUBSTITUTE(SUBSTITUTE(UPPER(Tasks[[#This Row],[_Predecessors]]),";",",")," ",""),",",REPT(" ",99)),199,99)))</f>
        <v/>
      </c>
      <c r="CW181" s="42" t="str">
        <f aca="false">IF(Tasks[[#This Row],[_Pred3Text]]="","",IFERROR(VALUE(LEFT(Tasks[[#This Row],[_Pred3Text]],MIN(FIND("F",Tasks[[#This Row],[_Pred3Text]]&amp;"F"),FIND("S",Tasks[[#This Row],[_Pred3Text]]&amp;"S"),FIND("+",Tasks[[#This Row],[_Pred3Text]]&amp;"+"),FIND("-",Tasks[[#This Row],[_Pred3Text]]&amp;"-"))-1)),""))</f>
        <v/>
      </c>
      <c r="CX1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1" s="42" t="str">
        <f aca="false">IF(Tasks[[#This Row],[_Pred3Text]]="","",TRIM(MID(SUBSTITUTE(SUBSTITUTE(SUBSTITUTE(UPPER(Tasks[[#This Row],[_Predecessors]]),";",",")," ",""),",",REPT(" ",99)),298,99)))</f>
        <v/>
      </c>
      <c r="DA181" s="42" t="str">
        <f aca="false">IF(Tasks[[#This Row],[_Pred4Text]]="","",IFERROR(VALUE(LEFT(Tasks[[#This Row],[_Pred4Text]],MIN(FIND("F",Tasks[[#This Row],[_Pred4Text]]&amp;"F"),FIND("S",Tasks[[#This Row],[_Pred4Text]]&amp;"S"),FIND("+",Tasks[[#This Row],[_Pred4Text]]&amp;"+"),FIND("-",Tasks[[#This Row],[_Pred4Text]]&amp;"-"))-1)),""))</f>
        <v/>
      </c>
      <c r="DB1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1" s="42" t="str">
        <f aca="false">IF(OR(Tasks[[#This Row],[Task Name]]="",Tasks[[#This Row],[_Resources]]=""),"",TRIM(MID(SUBSTITUTE(Tasks[[#This Row],[_Resources]],",",REPT(" ",99)),1,99)))</f>
        <v/>
      </c>
      <c r="DE181" s="42" t="str">
        <f aca="false">IF(Tasks[[#This Row],[_Res1Text]]="","",TRIM(MID(SUBSTITUTE(Tasks[[#This Row],[_Resources]],",",REPT(" ",99)),100,99)))</f>
        <v/>
      </c>
      <c r="DF181" s="42" t="str">
        <f aca="false">IF(Tasks[[#This Row],[_Res2Text]]="","",TRIM(MID(SUBSTITUTE(Tasks[[#This Row],[_Resources]],",",REPT(" ",99)),199,99)))</f>
        <v/>
      </c>
      <c r="DG181" s="42" t="str">
        <f aca="false">IF(Tasks[[#This Row],[_Res3Text]]="","",TRIM(MID(SUBSTITUTE(Tasks[[#This Row],[_Resources]],",",REPT(" ",99)),298,99)))</f>
        <v/>
      </c>
      <c r="DH181" s="42" t="n">
        <f aca="false">IF(Tasks[[#This Row],[_Res1Text]]="",0,IFERROR(MATCH(TRIM(LEFT(Tasks[[#This Row],[_Res1Text]],FIND("[",Tasks[[#This Row],[_Res1Text]]&amp;"[")-1)),res_Name,0),IFERROR(MATCH(TRIM(LEFT(Tasks[[#This Row],[_Res1Text]],FIND("[",Tasks[[#This Row],[_Res1Text]]&amp;"[")-1)),res_Initials,0),0)))</f>
        <v>0</v>
      </c>
      <c r="DI181" s="42" t="n">
        <f aca="false">IF(Tasks[[#This Row],[_Res2Text]]="",0,IFERROR(MATCH(TRIM(LEFT(Tasks[[#This Row],[_Res2Text]],FIND("[",Tasks[[#This Row],[_Res2Text]]&amp;"[")-1)),res_Name,0),IFERROR(MATCH(TRIM(LEFT(Tasks[[#This Row],[_Res2Text]],FIND("[",Tasks[[#This Row],[_Res2Text]]&amp;"[")-1)),res_Initials,0),0)))</f>
        <v>0</v>
      </c>
      <c r="DJ181" s="42" t="n">
        <f aca="false">IF(Tasks[[#This Row],[_Res3Text]]="",0,IFERROR(MATCH(TRIM(LEFT(Tasks[[#This Row],[_Res3Text]],FIND("[",Tasks[[#This Row],[_Res3Text]]&amp;"[")-1)),res_Name,0),IFERROR(MATCH(TRIM(LEFT(Tasks[[#This Row],[_Res3Text]],FIND("[",Tasks[[#This Row],[_Res3Text]]&amp;"[")-1)),res_Initials,0),0)))</f>
        <v>0</v>
      </c>
      <c r="DK181" s="42" t="n">
        <f aca="false">IF(Tasks[[#This Row],[_Res4Text]]="",0,IFERROR(MATCH(TRIM(LEFT(Tasks[[#This Row],[_Res4Text]],FIND("[",Tasks[[#This Row],[_Res4Text]]&amp;"[")-1)),res_Name,0),IFERROR(MATCH(TRIM(LEFT(Tasks[[#This Row],[_Res4Text]],FIND("[",Tasks[[#This Row],[_Res4Text]]&amp;"[")-1)),res_Initials,0),0)))</f>
        <v>0</v>
      </c>
      <c r="DL181" s="42" t="str">
        <f aca="false">IF(Tasks[[#This Row],[_Res1Text]]="","",IF(Tasks[[#This Row],[_Res1Row]]&gt;0,INDEX(res_Name,Tasks[[#This Row],[_Res1Row]]),TRIM(LEFT(Tasks[[#This Row],[_Res1Text]],FIND("[",Tasks[[#This Row],[_Res1Text]]&amp;"[")-1))))</f>
        <v/>
      </c>
      <c r="DM1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1" s="42" t="n">
        <f aca="false">IF(NOT(Tasks[[#This Row],[_IsLeaf]]=1),0,(Tasks[[#This Row],[_Resource1]]&lt;&gt;"")+(Tasks[[#This Row],[_Res2]]&lt;&gt;"")+(Tasks[[#This Row],[_Res3]]&lt;&gt;"")+(Tasks[[#This Row],[_Res4]]&lt;&gt;""))</f>
        <v>0</v>
      </c>
      <c r="DO181" s="42" t="str">
        <f aca="false">IF(Tasks[[#This Row],[_Res2Text]]="","",IF(Tasks[[#This Row],[_Res2Row]]&gt;0,INDEX(res_Name,Tasks[[#This Row],[_Res2Row]]),TRIM(LEFT(Tasks[[#This Row],[_Res2Text]],FIND("[",Tasks[[#This Row],[_Res2Text]]&amp;"[")-1))))</f>
        <v/>
      </c>
      <c r="DP1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1" s="42" t="n">
        <f aca="false">IF(OR(NOT(Tasks[[#This Row],[_IsLeaf]]=1),Tasks[[#This Row],[_Res2Row]]=0),0,N(Tasks[[#This Row],[_Days]])*HoursPerDay*IF(Tasks[[#This Row],[_Res2Units]]="",DefaultUnits,Tasks[[#This Row],[_Res2Units]]))</f>
        <v>0</v>
      </c>
      <c r="DR181" s="42" t="n">
        <f aca="false">IF(AND(AND(Tasks[[#This Row],[_IsLeaf]]=1,Tasks[[#This Row],[_LeafTotalWork]]&gt;0),Tasks[[#This Row],[_Res2Work]]&gt;0),Tasks[[#This Row],[_Res2Work]]/(Tasks[[#This Row],[_FinishWorkday]]-Tasks[[#This Row],[_StartWorkday]]+1),0)</f>
        <v>0</v>
      </c>
      <c r="DS181" s="42" t="n">
        <f aca="false">Tasks[[#This Row],[_Res2WorkPerWD]]*MAX(0,Tasks[[#This Row],[_StartWorkday]]-1)</f>
        <v>0</v>
      </c>
      <c r="DT181" s="42" t="n">
        <f aca="false">Tasks[[#This Row],[_Res2Work]]*Tasks[[#This Row],[_LeafProgress]]</f>
        <v>0</v>
      </c>
      <c r="DU181" s="42" t="str">
        <f aca="false">IF(Tasks[[#This Row],[_Res3Text]]="","",IF(Tasks[[#This Row],[_Res3Row]]&gt;0,INDEX(res_Name,Tasks[[#This Row],[_Res3Row]]),TRIM(LEFT(Tasks[[#This Row],[_Res3Text]],FIND("[",Tasks[[#This Row],[_Res3Text]]&amp;"[")-1))))</f>
        <v/>
      </c>
      <c r="DV1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1" s="42" t="n">
        <f aca="false">IF(OR(NOT(Tasks[[#This Row],[_IsLeaf]]=1),Tasks[[#This Row],[_Res3Row]]=0),0,N(Tasks[[#This Row],[_Days]])*HoursPerDay*IF(Tasks[[#This Row],[_Res3Units]]="",DefaultUnits,Tasks[[#This Row],[_Res3Units]]))</f>
        <v>0</v>
      </c>
      <c r="DX181" s="42" t="n">
        <f aca="false">IF(AND(AND(Tasks[[#This Row],[_IsLeaf]]=1,Tasks[[#This Row],[_LeafTotalWork]]&gt;0),Tasks[[#This Row],[_Res3Work]]&gt;0),Tasks[[#This Row],[_Res3Work]]/(Tasks[[#This Row],[_FinishWorkday]]-Tasks[[#This Row],[_StartWorkday]]+1),0)</f>
        <v>0</v>
      </c>
      <c r="DY181" s="42" t="n">
        <f aca="false">Tasks[[#This Row],[_Res3WorkPerWD]]*MAX(0,Tasks[[#This Row],[_StartWorkday]]-1)</f>
        <v>0</v>
      </c>
      <c r="DZ181" s="42" t="n">
        <f aca="false">Tasks[[#This Row],[_Res3Work]]*Tasks[[#This Row],[_LeafProgress]]</f>
        <v>0</v>
      </c>
      <c r="EA181" s="42" t="str">
        <f aca="false">IF(Tasks[[#This Row],[_Res4Text]]="","",IF(Tasks[[#This Row],[_Res4Row]]&gt;0,INDEX(res_Name,Tasks[[#This Row],[_Res4Row]]),TRIM(LEFT(Tasks[[#This Row],[_Res4Text]],FIND("[",Tasks[[#This Row],[_Res4Text]]&amp;"[")-1))))</f>
        <v/>
      </c>
      <c r="EB1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1" s="42" t="n">
        <f aca="false">IF(OR(NOT(Tasks[[#This Row],[_IsLeaf]]=1),Tasks[[#This Row],[_Res4Row]]=0),0,N(Tasks[[#This Row],[_Days]])*HoursPerDay*IF(Tasks[[#This Row],[_Res4Units]]="",DefaultUnits,Tasks[[#This Row],[_Res4Units]]))</f>
        <v>0</v>
      </c>
      <c r="ED181" s="42" t="n">
        <f aca="false">IF(AND(AND(Tasks[[#This Row],[_IsLeaf]]=1,Tasks[[#This Row],[_LeafTotalWork]]&gt;0),Tasks[[#This Row],[_Res4Work]]&gt;0),Tasks[[#This Row],[_Res4Work]]/(Tasks[[#This Row],[_FinishWorkday]]-Tasks[[#This Row],[_StartWorkday]]+1),0)</f>
        <v>0</v>
      </c>
      <c r="EE181" s="42" t="n">
        <f aca="false">Tasks[[#This Row],[_Res4WorkPerWD]]*MAX(0,Tasks[[#This Row],[_StartWorkday]]-1)</f>
        <v>0</v>
      </c>
      <c r="EF181" s="42" t="n">
        <f aca="false">Tasks[[#This Row],[_Res4Work]]*Tasks[[#This Row],[_LeafProgress]]</f>
        <v>0</v>
      </c>
      <c r="EG181" s="42" t="n">
        <f aca="false">IF(ISNUMBER(Tasks[[#This Row],[% Complete]]),Tasks[[#This Row],[% Complete]],IF(Tasks[[#This Row],[Stage]]="",0,IFERROR(INDEX(stg_Pct,MATCH(Tasks[[#This Row],[Stage]],stg_Name,0)),0)))</f>
        <v>0</v>
      </c>
      <c r="EH181" s="42" t="n">
        <f aca="false">IF(NOT(Tasks[[#This Row],[_IsLeaf]]=1),0,IF(N(Tasks[[#This Row],[Actual Finish]])&gt;0,1,MIN(1,Tasks[[#This Row],[_Pct]])))</f>
        <v>0</v>
      </c>
      <c r="EI181" s="42" t="n">
        <f aca="false">IF(OR(NOT(Tasks[[#This Row],[_IsLeaf]]=1),Tasks[[#This Row],[_Res1Row]]=0),0,N(Tasks[[#This Row],[_Days]])*HoursPerDay*IF(Tasks[[#This Row],[_Units1]]="",DefaultUnits,Tasks[[#This Row],[_Units1]]))</f>
        <v>0</v>
      </c>
      <c r="EJ181" s="42" t="n">
        <f aca="false">Tasks[[#This Row],[_LeafWork]]+Tasks[[#This Row],[_Res2Work]]+Tasks[[#This Row],[_Res3Work]]+Tasks[[#This Row],[_Res4Work]]</f>
        <v>0</v>
      </c>
      <c r="EK1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1" s="42" t="n">
        <f aca="false">IF(NOT(Tasks[[#This Row],[_IsLeaf]]=1),0,MAX(_xlfn.MAXIFS(Tasks[_Row],Tasks[_Pred1UID],Tasks[[#This Row],[UID]]),_xlfn.MAXIFS(Tasks[_Row],Tasks[_Pred2UID],Tasks[[#This Row],[UID]]),_xlfn.MAXIFS(Tasks[_Row],Tasks[_Pred3UID],Tasks[[#This Row],[UID]]),_xlfn.MAXIFS(Tasks[_Row],Tasks[_Pred4UID],Tasks[[#This Row],[UID]])))</f>
        <v>0</v>
      </c>
      <c r="ET1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1" s="89" t="str">
        <f aca="false">IF(NOT(Tasks[[#This Row],[_IsLeaf]]=1),"",IF(N(Tasks[[#This Row],[_Days]])&lt;=0,Tasks[[#This Row],[_LeafLateFinish]],WORKDAY.INTL(Tasks[[#This Row],[_LeafLateFinish]],-(Tasks[[#This Row],[_Days]]-1),WorkWeek,Holidays)))</f>
        <v/>
      </c>
      <c r="EW1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1" s="88" t="b">
        <f aca="false">AND(Tasks[[#This Row],[_IsLeaf]]=1,Tasks[[#This Row],[_LeafProgress]]&lt;1,N(Tasks[[#This Row],[_LeafTotalSlack]])&lt;=CriticalSlackDays)</f>
        <v>0</v>
      </c>
      <c r="EY181" s="42" t="n">
        <f aca="false">IF(AND(Tasks[[#This Row],[_IsLeaf]]=1,Tasks[[#This Row],[_ConstraintCode]]=1,Tasks[[#This Row],[Mode]]&lt;&gt;"Manual",N(Tasks[[#This Row],[Actual Start]])=0),MAX(0,N(Tasks[[#This Row],[Free Slack]])),0)</f>
        <v>0</v>
      </c>
      <c r="EZ181" s="89" t="str">
        <f aca="false">IF(NOT(Tasks[[#This Row],[_IsLeaf]]=1),"",IF(Tasks[[#This Row],[_AlapShift]]=0,Tasks[[#This Row],[_LeafCalcStart]],WORKDAY.INTL(Tasks[[#This Row],[_LeafCalcStart]],Tasks[[#This Row],[_AlapShift]],WorkWeek,Holidays)))</f>
        <v/>
      </c>
      <c r="FA181" s="89" t="str">
        <f aca="false">IF(NOT(Tasks[[#This Row],[_IsLeaf]]=1),"",IF(Tasks[[#This Row],[_AlapShift]]=0,Tasks[[#This Row],[_LeafCalcFinish]],WORKDAY.INTL(Tasks[[#This Row],[_LeafCalcFinish]],Tasks[[#This Row],[_AlapShift]],WorkWeek,Holidays)))</f>
        <v/>
      </c>
      <c r="FB181" s="89" t="str">
        <f aca="false">IF(NOT(Tasks[[#This Row],[_IsLeaf]]=1),"",IF(Tasks[[#This Row],[_AlapShift]]=0,Tasks[[#This Row],[_LeafFcstStart]],WORKDAY.INTL(Tasks[[#This Row],[_LeafFcstStart]],Tasks[[#This Row],[_AlapShift]],WorkWeek,Holidays)))</f>
        <v/>
      </c>
      <c r="FC181" s="89" t="str">
        <f aca="false">IF(NOT(Tasks[[#This Row],[_IsLeaf]]=1),"",IF(Tasks[[#This Row],[_AlapShift]]=0,Tasks[[#This Row],[_LeafFcstFinish]],WORKDAY.INTL(Tasks[[#This Row],[_LeafFcstFinish]],Tasks[[#This Row],[_AlapShift]],WorkWeek,Holidays)))</f>
        <v/>
      </c>
      <c r="FD181" s="89" t="str">
        <f aca="false">IF(Tasks[[#This Row],[Task Name]]="","",IF(Tasks[[#This Row],[_IsSummary]],MIN(INDEX(Tasks[_ShownCalcStart],Tasks[[#This Row],[_Row]]+1):INDEX(Tasks[_ShownCalcStart],Tasks[[#This Row],[_Row]]+Tasks[[#This Row],[_Descendants]])),Tasks[[#This Row],[_ShownCalcStart]]))</f>
        <v/>
      </c>
      <c r="FE181" s="89" t="str">
        <f aca="false">IF(Tasks[[#This Row],[Task Name]]="","",IF(Tasks[[#This Row],[_IsSummary]],MAX(INDEX(Tasks[_ShownCalcFinish],Tasks[[#This Row],[_Row]]+1):INDEX(Tasks[_ShownCalcFinish],Tasks[[#This Row],[_Row]]+Tasks[[#This Row],[_Descendants]])),Tasks[[#This Row],[_ShownCalcFinish]]))</f>
        <v/>
      </c>
      <c r="FF1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1" s="42" t="n">
        <f aca="false">IF(AND(Tasks[[#This Row],[_IsLeaf]]=1,Tasks[[#This Row],[_LeafTotalWork]]&gt;0),NETWORKDAYS.INTL(ProjectStart,Tasks[[#This Row],[_ShownFcstStart]],WorkWeek,Holidays),0)</f>
        <v>0</v>
      </c>
      <c r="FS181" s="42" t="n">
        <f aca="false">IF(AND(Tasks[[#This Row],[_IsLeaf]]=1,Tasks[[#This Row],[_LeafTotalWork]]&gt;0),MAX(Tasks[[#This Row],[_StartWorkday]],NETWORKDAYS.INTL(ProjectStart,Tasks[[#This Row],[_ShownFcstFinish]],WorkWeek,Holidays)),0)</f>
        <v>0</v>
      </c>
      <c r="FT181" s="42" t="n">
        <f aca="false">IF(AND(Tasks[[#This Row],[_IsLeaf]]=1,Tasks[[#This Row],[_LeafTotalWork]]&gt;0),Tasks[[#This Row],[_LeafWork]]/(Tasks[[#This Row],[_FinishWorkday]]-Tasks[[#This Row],[_StartWorkday]]+1),0)</f>
        <v>0</v>
      </c>
      <c r="FU181" s="42" t="n">
        <f aca="false">Tasks[[#This Row],[_WorkPerWorkday]]*(Tasks[[#This Row],[_StartWorkday]]-1)</f>
        <v>-0</v>
      </c>
      <c r="FV181" s="42" t="n">
        <f aca="false">IF(Tasks[[#This Row],[_IsLeaf]]=1,MAX(N(Tasks[[#This Row],[_Days]]),0.1),0)</f>
        <v>0</v>
      </c>
      <c r="FW181" s="42" t="n">
        <f aca="false">Tasks[[#This Row],[_WeightDur]]*Tasks[[#This Row],[_LeafProgress]]</f>
        <v>0</v>
      </c>
      <c r="FX181" s="42" t="n">
        <f aca="false">Tasks[[#This Row],[_WeightDur]]*Tasks[[#This Row],[_PlannedPct]]</f>
        <v>0</v>
      </c>
      <c r="FY1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1" s="42" t="str">
        <f aca="false">IF(AND(Tasks[[#This Row],[_IsLeaf]]=1,N(Tasks[[#This Row],[_Days]])=0,Tasks[[#This Row],[_LeafProgress]]&lt;1),Tasks[[#This Row],[_ShownFcstFinish]]+Tasks[[#This Row],[_Row]]/100000,"")</f>
        <v/>
      </c>
      <c r="GA1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1" s="42" t="str">
        <f aca="false">IF(Tasks[[#This Row],[Task Name]]="","",LEFT(Tasks[[#This Row],[WBS]],FIND(".",Tasks[[#This Row],[WBS]]&amp;".")-1))</f>
        <v/>
      </c>
      <c r="GC181" s="42" t="str">
        <f aca="false">IF(AND(Tasks[[#This Row],[Task Name]]&lt;&gt;"",Tasks[[#This Row],[_Level]]=1),Tasks[[#This Row],[_Row]],"")</f>
        <v/>
      </c>
      <c r="GD181" s="42" t="str">
        <f aca="false">IF(AND(Tasks[[#This Row],[_IsLeaf]]=1,N(Tasks[[#This Row],[_Days]])=0),Tasks[[#This Row],[Planned Finish]]+Tasks[[#This Row],[_Row]]/100000,"")</f>
        <v/>
      </c>
      <c r="GE181" s="42" t="str">
        <f aca="false">IF(AND(Tasks[[#This Row],[_IsLeaf]]=1,Tasks[[#This Row],[_LeafProgress]]&lt;1,OR(N(Tasks[[#This Row],[Finish Var]])&gt;0,Tasks[[#This Row],[Status]]="Late Start")),MAX(0,Tasks[[#This Row],[Finish Var]])+1-Tasks[[#This Row],[_Row]]/1000000,"")</f>
        <v/>
      </c>
      <c r="GF181" s="42" t="str">
        <f aca="false">IF(AND(Tasks[[#This Row],[_IsLeaf]]=1,N(Tasks[[#This Row],[Actual Start]])=0,Tasks[[#This Row],[_ShownFcstStart]]&gt;=StatusDate,Tasks[[#This Row],[_ShownFcstStart]]&lt;=LookaheadEnd),Tasks[[#This Row],[_ShownFcstStart]]+Tasks[[#This Row],[_Row]]/100000,"")</f>
        <v/>
      </c>
      <c r="GG181" s="42" t="str">
        <f aca="false">IF(AND(Tasks[[#This Row],[_IsLeaf]]=1,Tasks[[#This Row],[_LeafProgress]]&lt;1,Tasks[[#This Row],[_ShownFcstFinish]]&gt;=StatusDate,Tasks[[#This Row],[_ShownFcstFinish]]&lt;=LookaheadEnd),Tasks[[#This Row],[_ShownFcstFinish]]+Tasks[[#This Row],[_Row]]/100000,"")</f>
        <v/>
      </c>
      <c r="GH181" s="42" t="str">
        <f aca="false">IF(Tasks[[#This Row],[_LeafCritical]],Tasks[[#This Row],[_ShownFcstStart]]+Tasks[[#This Row],[_Row]]/100000,"")</f>
        <v/>
      </c>
      <c r="GI181" s="42" t="n">
        <f aca="false">Tasks[[#This Row],[_LeafWork]]*Tasks[[#This Row],[_LeafProgress]]</f>
        <v>0</v>
      </c>
      <c r="GJ181" s="89" t="str">
        <f aca="false">IF(AND(Tasks[[#This Row],[_IsLeaf]]=1,Tasks[[#This Row],[_LeafProgress]]&gt;=1),IF(N(Tasks[[#This Row],[Actual Finish]])&gt;0,Tasks[[#This Row],[Actual Finish]],Tasks[[#This Row],[_ShownFcstFinish]]),"")</f>
        <v/>
      </c>
      <c r="GK181" s="42" t="n">
        <f aca="false">IF(Tasks[[#This Row],[_IsLeaf]]=1,N(Tasks[[#This Row],[Story Points]]),0)</f>
        <v>0</v>
      </c>
      <c r="GL181" s="42" t="str">
        <f aca="false">""</f>
        <v/>
      </c>
      <c r="GM181" s="88" t="b">
        <f aca="false">IF(Tasks[[#This Row],[Task Name]]="",FALSE(),AND(Tasks[[#This Row],[_IsLeaf]]=1,N(Tasks[[#This Row],[_Days]])=0))</f>
        <v>0</v>
      </c>
      <c r="GN181" s="89" t="n">
        <f aca="false">IF(Tasks[[#This Row],[Task Name]]="",0,IF(AND(Tasks[[#This Row],[_IsLeaf]]=1,NOT(Tasks[[#This Row],[_IsMilestone]]),N(Tasks[[#This Row],[Progress]])&gt;0),Tasks[[#This Row],[Start]],0))</f>
        <v>0</v>
      </c>
      <c r="GO181" s="89" t="n">
        <f aca="false">IF(Tasks[[#This Row],[_DoneFrom]]=0,0,IF(Tasks[[#This Row],[Progress]]&gt;=1,Tasks[[#This Row],[Finish]],MAX(Tasks[[#This Row],[_DoneFrom]],Tasks[[#This Row],[Start]]+ROUND((Tasks[[#This Row],[Finish]]-Tasks[[#This Row],[Start]]+1)*Tasks[[#This Row],[Progress]],0)-1)))</f>
        <v>0</v>
      </c>
      <c r="GP181" s="89" t="n">
        <f aca="false">IF(Tasks[[#This Row],[Task Name]]="",0,IF(OR(NOT(Tasks[[#This Row],[_IsLeaf]]=1),Tasks[[#This Row],[_IsMilestone]],N(Tasks[[#This Row],[Progress]])&gt;=1),0,IF(Tasks[[#This Row],[_DoneTo]]&gt;0,Tasks[[#This Row],[_DoneTo]]+1,Tasks[[#This Row],[Start]])))</f>
        <v>0</v>
      </c>
      <c r="GQ181" s="89" t="n">
        <f aca="false">IF(Tasks[[#This Row],[_RemFrom]]=0,0,Tasks[[#This Row],[Finish]])</f>
        <v>0</v>
      </c>
      <c r="GR181" s="88" t="b">
        <f aca="false">IF(Tasks[[#This Row],[Task Name]]="",FALSE(),OR(NOT(BaselineSet),N(Tasks[[#This Row],[Baseline Start]])&gt;0))</f>
        <v>0</v>
      </c>
      <c r="GS1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1" s="90" t="str">
        <f aca="false">IF(Tasks[[#This Row],[_IsLeaf]]=1,Tasks[[#This Row],[_Row]],"")</f>
        <v/>
      </c>
      <c r="GW181" s="90" t="str">
        <f aca="false">IFERROR(INDEX(Tasks[UID],SMALL(Tasks[_PickKey],Tasks[[#This Row],[_Row]]))&amp;" "&amp;INDEX(Tasks[Task Name],SMALL(Tasks[_PickKey],Tasks[[#This Row],[_Row]])),"")</f>
        <v/>
      </c>
      <c r="GX181" s="42" t="str">
        <f aca="false">IF(Tasks[[#This Row],[Task Name]]="","",IF(Tasks[[#This Row],[_IsSummary]],NETWORKDAYS.INTL(Tasks[[#This Row],[Start]],Tasks[[#This Row],[Finish]],WorkWeek,Holidays),N(Tasks[[#This Row],[_Days]])))</f>
        <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3"/>
      <c r="U182" s="23"/>
      <c r="V182" s="83"/>
      <c r="W182" s="23"/>
      <c r="X182" s="83"/>
      <c r="Y182" s="23"/>
      <c r="Z182" s="83"/>
      <c r="AA182" s="23"/>
      <c r="AB182" s="23"/>
      <c r="AC182" s="7"/>
      <c r="AD182" s="7"/>
      <c r="AE182" s="62" t="str">
        <f aca="false">IF(Tasks[[#This Row],[Task Name]]="","",IF(Tasks[[#This Row],[_IsSummary]],MIN(INDEX(Tasks[_ShownFcstStart],Tasks[[#This Row],[_Row]]+1):INDEX(Tasks[_ShownFcstStart],Tasks[[#This Row],[_Row]]+Tasks[[#This Row],[_Descendants]])),Tasks[[#This Row],[_ShownFcstStart]]))</f>
        <v/>
      </c>
      <c r="AF182" s="62"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2" s="7"/>
      <c r="AK182" s="22"/>
      <c r="AL182" s="23"/>
      <c r="AM182" s="7"/>
      <c r="AN182" s="46"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2" t="str">
        <f aca="false">IF(Tasks[[#This Row],[Task Name]]="","",IF(N(Tasks[[#This Row],[Baseline Start]])&gt;0,Tasks[[#This Row],[Baseline Start]],Tasks[[#This Row],[_CalcStart]]))</f>
        <v/>
      </c>
      <c r="AR182" s="62" t="str">
        <f aca="false">IF(Tasks[[#This Row],[Task Name]]="","",IF(N(Tasks[[#This Row],[Baseline Finish]])&gt;0,Tasks[[#This Row],[Baseline Finish]],Tasks[[#This Row],[_CalcFinish]]))</f>
        <v/>
      </c>
      <c r="AS182" s="46" t="str">
        <f aca="false">IF(Tasks[[#This Row],[Task Name]]="","",IF(Tasks[[#This Row],[Start]]&gt;=Tasks[[#This Row],[Planned Start]],NETWORKDAYS.INTL(Tasks[[#This Row],[Planned Start]],Tasks[[#This Row],[Start]],WorkWeek,Holidays)-1,1-NETWORKDAYS.INTL(Tasks[[#This Row],[Start]],Tasks[[#This Row],[Planned Start]],WorkWeek,Holidays)))</f>
        <v/>
      </c>
      <c r="AT182" s="62" t="str">
        <f aca="false">IF(Tasks[[#This Row],[Task Name]]="","",IF(Tasks[[#This Row],[_IsSummary]],MIN(INDEX(Tasks[_LeafLateStart],Tasks[[#This Row],[_Row]]+1):INDEX(Tasks[_LeafLateStart],Tasks[[#This Row],[_Row]]+Tasks[[#This Row],[_Descendants]])),Tasks[[#This Row],[_LeafLateStart]]))</f>
        <v/>
      </c>
      <c r="AU182" s="62" t="str">
        <f aca="false">IF(Tasks[[#This Row],[Task Name]]="","",IF(Tasks[[#This Row],[_IsSummary]],MAX(INDEX(Tasks[_LeafLateFinish],Tasks[[#This Row],[_Row]]+1):INDEX(Tasks[_LeafLateFinish],Tasks[[#This Row],[_Row]]+Tasks[[#This Row],[_Descendants]])),Tasks[[#This Row],[_LeafLateFinish]]))</f>
        <v/>
      </c>
      <c r="AV182" s="46"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4"/>
      <c r="BA1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5"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6"/>
      <c r="BJ182" s="22"/>
      <c r="BK182" s="46" t="str">
        <f aca="false">IF(OR(Tasks[[#This Row],[Task Name]]="",Tasks[[#This Row],[Baseline Duration]]=""),"",Tasks[[#This Row],[_SpanDays]]-N(Tasks[[#This Row],[Baseline Duration]]))</f>
        <v/>
      </c>
      <c r="BL182" s="85" t="str">
        <f aca="false">IF(OR(Tasks[[#This Row],[Task Name]]="",Tasks[[#This Row],[Baseline Work]]=""),"",Tasks[[#This Row],[Work]]-N(Tasks[[#This Row],[Baseline Work]]))</f>
        <v/>
      </c>
      <c r="BM182" s="62" t="str">
        <f aca="false">IF(Tasks[[#This Row],[Task Name]]="","",IF(OR(TakeBaseline="Yes",N(Tasks[[#This Row],[Baseline Start]])=0),Tasks[[#This Row],[Start]],Tasks[[#This Row],[Baseline Start]]))</f>
        <v/>
      </c>
      <c r="BN182" s="62"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5" t="str">
        <f aca="false">IF(Tasks[[#This Row],[Task Name]]="","",IF(OR(TakeBaseline="Yes",N(Tasks[[#This Row],[Baseline Work]])=0),Tasks[[#This Row],[Work]],Tasks[[#This Row],[Baseline Work]]))</f>
        <v/>
      </c>
      <c r="BQ182" s="7"/>
      <c r="BR182" s="7"/>
      <c r="BS182" s="22"/>
      <c r="BT182" s="87"/>
      <c r="BU182" s="42" t="str">
        <f aca="false">IF(Tasks[[#This Row],[Task Name]]="","",MAX(1,N(Tasks[[#This Row],[Level]])))</f>
        <v/>
      </c>
      <c r="BV182" s="42" t="n">
        <f aca="false">ROW()-ROW(Tasks[[#Headers],[ID]])</f>
        <v>177</v>
      </c>
      <c r="BW182" s="42" t="n">
        <f aca="false">IF(OR(Tasks[[#This Row],[Task Name]]="",Tasks[[#This Row],[_Level]]&lt;=1),0,IFERROR(LOOKUP(2,1/(Tasks[[#Headers],[_Level]]:Tasks[[#This Row],[_Level]]=Tasks[[#This Row],[_Level]]-1),ROW(Tasks[[#Headers],[_Level]]:Tasks[[#This Row],[_Level]])),0))</f>
        <v>0</v>
      </c>
      <c r="BX182" s="42" t="n">
        <f aca="false">IFERROR(N(INDEX(Tasks[_Level],Tasks[[#This Row],[_Row]]+1)),0)</f>
        <v>0</v>
      </c>
      <c r="BY182" s="88" t="b">
        <f aca="false">AND(Tasks[[#This Row],[Task Name]]&lt;&gt;"",Tasks[[#This Row],[_NextLevel]]&gt;Tasks[[#This Row],[_Level]])</f>
        <v>0</v>
      </c>
      <c r="BZ182" s="42" t="n">
        <f aca="false">IF(Tasks[[#This Row],[_IsSummary]],COUNTIF(Tasks[WBS],Tasks[[#This Row],[WBS]]&amp;".*"),0)</f>
        <v>0</v>
      </c>
      <c r="CA182" s="42" t="n">
        <f aca="false">IF(AND(Tasks[[#This Row],[Task Name]]&lt;&gt;"",NOT(Tasks[[#This Row],[_IsSummary]])),1,0)</f>
        <v>0</v>
      </c>
      <c r="CB182" s="42" t="n">
        <f aca="false">IF(N(Tasks[[#This Row],[_Pred1UID]])=0,0,IFERROR(MATCH(Tasks[[#This Row],[_Pred1UID]],Tasks[UID],0),-1))</f>
        <v>0</v>
      </c>
      <c r="CC182" s="42" t="n">
        <f aca="false">IF(N(Tasks[[#This Row],[_Pred2UID]])=0,0,IFERROR(MATCH(Tasks[[#This Row],[_Pred2UID]],Tasks[UID],0),-1))</f>
        <v>0</v>
      </c>
      <c r="CD182" s="42" t="n">
        <f aca="false">IF(N(Tasks[[#This Row],[_Pred3UID]])=0,0,IFERROR(MATCH(Tasks[[#This Row],[_Pred3UID]],Tasks[UID],0),-1))</f>
        <v>0</v>
      </c>
      <c r="CE182" s="42" t="n">
        <f aca="false">IF(N(Tasks[[#This Row],[_Pred4UID]])=0,0,IFERROR(MATCH(Tasks[[#This Row],[_Pred4UID]],Tasks[UID],0),-1))</f>
        <v>0</v>
      </c>
      <c r="CF1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2" s="89" t="n">
        <f aca="false">IF(OR(Tasks[[#This Row],[_ConstraintCode]]=2,Tasks[[#This Row],[_ConstraintCode]]=3,Tasks[[#This Row],[_ConstraintCode]]=4,Tasks[[#This Row],[_ConstraintCode]]=6),Tasks[[#This Row],[_ConstraintStart]],0)</f>
        <v>0</v>
      </c>
      <c r="CI182" s="89" t="n">
        <f aca="false">IF(OR(Tasks[[#This Row],[_ConstraintCode]]=2,Tasks[[#This Row],[_ConstraintCode]]=3,Tasks[[#This Row],[_ConstraintCode]]=5,Tasks[[#This Row],[_ConstraintCode]]=7),Tasks[[#This Row],[_ConstraintStart]],2958465)</f>
        <v>2958465</v>
      </c>
      <c r="CJ1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2" s="89" t="str">
        <f aca="false">IF(NOT(Tasks[[#This Row],[_IsLeaf]]=1),"",IF(N(Tasks[[#This Row],[_Days]])&lt;=0,Tasks[[#This Row],[_LeafCalcStart]],WORKDAY.INTL(Tasks[[#This Row],[_LeafCalcStart]],Tasks[[#This Row],[_Days]]-1,WorkWeek,Holidays)))</f>
        <v/>
      </c>
      <c r="CL1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2" s="42" t="str">
        <f aca="false">IF(Tasks[[#This Row],[_Predecessors]]="","",TRIM(MID(SUBSTITUTE(SUBSTITUTE(SUBSTITUTE(UPPER(Tasks[[#This Row],[_Predecessors]]),";",",")," ",""),",",REPT(" ",99)),1,99)))</f>
        <v/>
      </c>
      <c r="CO182" s="42" t="str">
        <f aca="false">IF(Tasks[[#This Row],[_Pred1Text]]="","",IFERROR(VALUE(LEFT(Tasks[[#This Row],[_Pred1Text]],MIN(FIND("F",Tasks[[#This Row],[_Pred1Text]]&amp;"F"),FIND("S",Tasks[[#This Row],[_Pred1Text]]&amp;"S"),FIND("+",Tasks[[#This Row],[_Pred1Text]]&amp;"+"),FIND("-",Tasks[[#This Row],[_Pred1Text]]&amp;"-"))-1)),""))</f>
        <v/>
      </c>
      <c r="CP1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2" s="42" t="str">
        <f aca="false">IF(Tasks[[#This Row],[_Pred1Text]]="","",TRIM(MID(SUBSTITUTE(SUBSTITUTE(SUBSTITUTE(UPPER(Tasks[[#This Row],[_Predecessors]]),";",",")," ",""),",",REPT(" ",99)),100,99)))</f>
        <v/>
      </c>
      <c r="CS182" s="42" t="str">
        <f aca="false">IF(Tasks[[#This Row],[_Pred2Text]]="","",IFERROR(VALUE(LEFT(Tasks[[#This Row],[_Pred2Text]],MIN(FIND("F",Tasks[[#This Row],[_Pred2Text]]&amp;"F"),FIND("S",Tasks[[#This Row],[_Pred2Text]]&amp;"S"),FIND("+",Tasks[[#This Row],[_Pred2Text]]&amp;"+"),FIND("-",Tasks[[#This Row],[_Pred2Text]]&amp;"-"))-1)),""))</f>
        <v/>
      </c>
      <c r="CT1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2" s="42" t="str">
        <f aca="false">IF(Tasks[[#This Row],[_Pred2Text]]="","",TRIM(MID(SUBSTITUTE(SUBSTITUTE(SUBSTITUTE(UPPER(Tasks[[#This Row],[_Predecessors]]),";",",")," ",""),",",REPT(" ",99)),199,99)))</f>
        <v/>
      </c>
      <c r="CW182" s="42" t="str">
        <f aca="false">IF(Tasks[[#This Row],[_Pred3Text]]="","",IFERROR(VALUE(LEFT(Tasks[[#This Row],[_Pred3Text]],MIN(FIND("F",Tasks[[#This Row],[_Pred3Text]]&amp;"F"),FIND("S",Tasks[[#This Row],[_Pred3Text]]&amp;"S"),FIND("+",Tasks[[#This Row],[_Pred3Text]]&amp;"+"),FIND("-",Tasks[[#This Row],[_Pred3Text]]&amp;"-"))-1)),""))</f>
        <v/>
      </c>
      <c r="CX1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2" s="42" t="str">
        <f aca="false">IF(Tasks[[#This Row],[_Pred3Text]]="","",TRIM(MID(SUBSTITUTE(SUBSTITUTE(SUBSTITUTE(UPPER(Tasks[[#This Row],[_Predecessors]]),";",",")," ",""),",",REPT(" ",99)),298,99)))</f>
        <v/>
      </c>
      <c r="DA182" s="42" t="str">
        <f aca="false">IF(Tasks[[#This Row],[_Pred4Text]]="","",IFERROR(VALUE(LEFT(Tasks[[#This Row],[_Pred4Text]],MIN(FIND("F",Tasks[[#This Row],[_Pred4Text]]&amp;"F"),FIND("S",Tasks[[#This Row],[_Pred4Text]]&amp;"S"),FIND("+",Tasks[[#This Row],[_Pred4Text]]&amp;"+"),FIND("-",Tasks[[#This Row],[_Pred4Text]]&amp;"-"))-1)),""))</f>
        <v/>
      </c>
      <c r="DB1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2" s="42" t="str">
        <f aca="false">IF(OR(Tasks[[#This Row],[Task Name]]="",Tasks[[#This Row],[_Resources]]=""),"",TRIM(MID(SUBSTITUTE(Tasks[[#This Row],[_Resources]],",",REPT(" ",99)),1,99)))</f>
        <v/>
      </c>
      <c r="DE182" s="42" t="str">
        <f aca="false">IF(Tasks[[#This Row],[_Res1Text]]="","",TRIM(MID(SUBSTITUTE(Tasks[[#This Row],[_Resources]],",",REPT(" ",99)),100,99)))</f>
        <v/>
      </c>
      <c r="DF182" s="42" t="str">
        <f aca="false">IF(Tasks[[#This Row],[_Res2Text]]="","",TRIM(MID(SUBSTITUTE(Tasks[[#This Row],[_Resources]],",",REPT(" ",99)),199,99)))</f>
        <v/>
      </c>
      <c r="DG182" s="42" t="str">
        <f aca="false">IF(Tasks[[#This Row],[_Res3Text]]="","",TRIM(MID(SUBSTITUTE(Tasks[[#This Row],[_Resources]],",",REPT(" ",99)),298,99)))</f>
        <v/>
      </c>
      <c r="DH182" s="42" t="n">
        <f aca="false">IF(Tasks[[#This Row],[_Res1Text]]="",0,IFERROR(MATCH(TRIM(LEFT(Tasks[[#This Row],[_Res1Text]],FIND("[",Tasks[[#This Row],[_Res1Text]]&amp;"[")-1)),res_Name,0),IFERROR(MATCH(TRIM(LEFT(Tasks[[#This Row],[_Res1Text]],FIND("[",Tasks[[#This Row],[_Res1Text]]&amp;"[")-1)),res_Initials,0),0)))</f>
        <v>0</v>
      </c>
      <c r="DI182" s="42" t="n">
        <f aca="false">IF(Tasks[[#This Row],[_Res2Text]]="",0,IFERROR(MATCH(TRIM(LEFT(Tasks[[#This Row],[_Res2Text]],FIND("[",Tasks[[#This Row],[_Res2Text]]&amp;"[")-1)),res_Name,0),IFERROR(MATCH(TRIM(LEFT(Tasks[[#This Row],[_Res2Text]],FIND("[",Tasks[[#This Row],[_Res2Text]]&amp;"[")-1)),res_Initials,0),0)))</f>
        <v>0</v>
      </c>
      <c r="DJ182" s="42" t="n">
        <f aca="false">IF(Tasks[[#This Row],[_Res3Text]]="",0,IFERROR(MATCH(TRIM(LEFT(Tasks[[#This Row],[_Res3Text]],FIND("[",Tasks[[#This Row],[_Res3Text]]&amp;"[")-1)),res_Name,0),IFERROR(MATCH(TRIM(LEFT(Tasks[[#This Row],[_Res3Text]],FIND("[",Tasks[[#This Row],[_Res3Text]]&amp;"[")-1)),res_Initials,0),0)))</f>
        <v>0</v>
      </c>
      <c r="DK182" s="42" t="n">
        <f aca="false">IF(Tasks[[#This Row],[_Res4Text]]="",0,IFERROR(MATCH(TRIM(LEFT(Tasks[[#This Row],[_Res4Text]],FIND("[",Tasks[[#This Row],[_Res4Text]]&amp;"[")-1)),res_Name,0),IFERROR(MATCH(TRIM(LEFT(Tasks[[#This Row],[_Res4Text]],FIND("[",Tasks[[#This Row],[_Res4Text]]&amp;"[")-1)),res_Initials,0),0)))</f>
        <v>0</v>
      </c>
      <c r="DL182" s="42" t="str">
        <f aca="false">IF(Tasks[[#This Row],[_Res1Text]]="","",IF(Tasks[[#This Row],[_Res1Row]]&gt;0,INDEX(res_Name,Tasks[[#This Row],[_Res1Row]]),TRIM(LEFT(Tasks[[#This Row],[_Res1Text]],FIND("[",Tasks[[#This Row],[_Res1Text]]&amp;"[")-1))))</f>
        <v/>
      </c>
      <c r="DM1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2" s="42" t="n">
        <f aca="false">IF(NOT(Tasks[[#This Row],[_IsLeaf]]=1),0,(Tasks[[#This Row],[_Resource1]]&lt;&gt;"")+(Tasks[[#This Row],[_Res2]]&lt;&gt;"")+(Tasks[[#This Row],[_Res3]]&lt;&gt;"")+(Tasks[[#This Row],[_Res4]]&lt;&gt;""))</f>
        <v>0</v>
      </c>
      <c r="DO182" s="42" t="str">
        <f aca="false">IF(Tasks[[#This Row],[_Res2Text]]="","",IF(Tasks[[#This Row],[_Res2Row]]&gt;0,INDEX(res_Name,Tasks[[#This Row],[_Res2Row]]),TRIM(LEFT(Tasks[[#This Row],[_Res2Text]],FIND("[",Tasks[[#This Row],[_Res2Text]]&amp;"[")-1))))</f>
        <v/>
      </c>
      <c r="DP1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2" s="42" t="n">
        <f aca="false">IF(OR(NOT(Tasks[[#This Row],[_IsLeaf]]=1),Tasks[[#This Row],[_Res2Row]]=0),0,N(Tasks[[#This Row],[_Days]])*HoursPerDay*IF(Tasks[[#This Row],[_Res2Units]]="",DefaultUnits,Tasks[[#This Row],[_Res2Units]]))</f>
        <v>0</v>
      </c>
      <c r="DR182" s="42" t="n">
        <f aca="false">IF(AND(AND(Tasks[[#This Row],[_IsLeaf]]=1,Tasks[[#This Row],[_LeafTotalWork]]&gt;0),Tasks[[#This Row],[_Res2Work]]&gt;0),Tasks[[#This Row],[_Res2Work]]/(Tasks[[#This Row],[_FinishWorkday]]-Tasks[[#This Row],[_StartWorkday]]+1),0)</f>
        <v>0</v>
      </c>
      <c r="DS182" s="42" t="n">
        <f aca="false">Tasks[[#This Row],[_Res2WorkPerWD]]*MAX(0,Tasks[[#This Row],[_StartWorkday]]-1)</f>
        <v>0</v>
      </c>
      <c r="DT182" s="42" t="n">
        <f aca="false">Tasks[[#This Row],[_Res2Work]]*Tasks[[#This Row],[_LeafProgress]]</f>
        <v>0</v>
      </c>
      <c r="DU182" s="42" t="str">
        <f aca="false">IF(Tasks[[#This Row],[_Res3Text]]="","",IF(Tasks[[#This Row],[_Res3Row]]&gt;0,INDEX(res_Name,Tasks[[#This Row],[_Res3Row]]),TRIM(LEFT(Tasks[[#This Row],[_Res3Text]],FIND("[",Tasks[[#This Row],[_Res3Text]]&amp;"[")-1))))</f>
        <v/>
      </c>
      <c r="DV1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2" s="42" t="n">
        <f aca="false">IF(OR(NOT(Tasks[[#This Row],[_IsLeaf]]=1),Tasks[[#This Row],[_Res3Row]]=0),0,N(Tasks[[#This Row],[_Days]])*HoursPerDay*IF(Tasks[[#This Row],[_Res3Units]]="",DefaultUnits,Tasks[[#This Row],[_Res3Units]]))</f>
        <v>0</v>
      </c>
      <c r="DX182" s="42" t="n">
        <f aca="false">IF(AND(AND(Tasks[[#This Row],[_IsLeaf]]=1,Tasks[[#This Row],[_LeafTotalWork]]&gt;0),Tasks[[#This Row],[_Res3Work]]&gt;0),Tasks[[#This Row],[_Res3Work]]/(Tasks[[#This Row],[_FinishWorkday]]-Tasks[[#This Row],[_StartWorkday]]+1),0)</f>
        <v>0</v>
      </c>
      <c r="DY182" s="42" t="n">
        <f aca="false">Tasks[[#This Row],[_Res3WorkPerWD]]*MAX(0,Tasks[[#This Row],[_StartWorkday]]-1)</f>
        <v>0</v>
      </c>
      <c r="DZ182" s="42" t="n">
        <f aca="false">Tasks[[#This Row],[_Res3Work]]*Tasks[[#This Row],[_LeafProgress]]</f>
        <v>0</v>
      </c>
      <c r="EA182" s="42" t="str">
        <f aca="false">IF(Tasks[[#This Row],[_Res4Text]]="","",IF(Tasks[[#This Row],[_Res4Row]]&gt;0,INDEX(res_Name,Tasks[[#This Row],[_Res4Row]]),TRIM(LEFT(Tasks[[#This Row],[_Res4Text]],FIND("[",Tasks[[#This Row],[_Res4Text]]&amp;"[")-1))))</f>
        <v/>
      </c>
      <c r="EB1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2" s="42" t="n">
        <f aca="false">IF(OR(NOT(Tasks[[#This Row],[_IsLeaf]]=1),Tasks[[#This Row],[_Res4Row]]=0),0,N(Tasks[[#This Row],[_Days]])*HoursPerDay*IF(Tasks[[#This Row],[_Res4Units]]="",DefaultUnits,Tasks[[#This Row],[_Res4Units]]))</f>
        <v>0</v>
      </c>
      <c r="ED182" s="42" t="n">
        <f aca="false">IF(AND(AND(Tasks[[#This Row],[_IsLeaf]]=1,Tasks[[#This Row],[_LeafTotalWork]]&gt;0),Tasks[[#This Row],[_Res4Work]]&gt;0),Tasks[[#This Row],[_Res4Work]]/(Tasks[[#This Row],[_FinishWorkday]]-Tasks[[#This Row],[_StartWorkday]]+1),0)</f>
        <v>0</v>
      </c>
      <c r="EE182" s="42" t="n">
        <f aca="false">Tasks[[#This Row],[_Res4WorkPerWD]]*MAX(0,Tasks[[#This Row],[_StartWorkday]]-1)</f>
        <v>0</v>
      </c>
      <c r="EF182" s="42" t="n">
        <f aca="false">Tasks[[#This Row],[_Res4Work]]*Tasks[[#This Row],[_LeafProgress]]</f>
        <v>0</v>
      </c>
      <c r="EG182" s="42" t="n">
        <f aca="false">IF(ISNUMBER(Tasks[[#This Row],[% Complete]]),Tasks[[#This Row],[% Complete]],IF(Tasks[[#This Row],[Stage]]="",0,IFERROR(INDEX(stg_Pct,MATCH(Tasks[[#This Row],[Stage]],stg_Name,0)),0)))</f>
        <v>0</v>
      </c>
      <c r="EH182" s="42" t="n">
        <f aca="false">IF(NOT(Tasks[[#This Row],[_IsLeaf]]=1),0,IF(N(Tasks[[#This Row],[Actual Finish]])&gt;0,1,MIN(1,Tasks[[#This Row],[_Pct]])))</f>
        <v>0</v>
      </c>
      <c r="EI182" s="42" t="n">
        <f aca="false">IF(OR(NOT(Tasks[[#This Row],[_IsLeaf]]=1),Tasks[[#This Row],[_Res1Row]]=0),0,N(Tasks[[#This Row],[_Days]])*HoursPerDay*IF(Tasks[[#This Row],[_Units1]]="",DefaultUnits,Tasks[[#This Row],[_Units1]]))</f>
        <v>0</v>
      </c>
      <c r="EJ182" s="42" t="n">
        <f aca="false">Tasks[[#This Row],[_LeafWork]]+Tasks[[#This Row],[_Res2Work]]+Tasks[[#This Row],[_Res3Work]]+Tasks[[#This Row],[_Res4Work]]</f>
        <v>0</v>
      </c>
      <c r="EK1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2" s="42" t="n">
        <f aca="false">IF(NOT(Tasks[[#This Row],[_IsLeaf]]=1),0,MAX(_xlfn.MAXIFS(Tasks[_Row],Tasks[_Pred1UID],Tasks[[#This Row],[UID]]),_xlfn.MAXIFS(Tasks[_Row],Tasks[_Pred2UID],Tasks[[#This Row],[UID]]),_xlfn.MAXIFS(Tasks[_Row],Tasks[_Pred3UID],Tasks[[#This Row],[UID]]),_xlfn.MAXIFS(Tasks[_Row],Tasks[_Pred4UID],Tasks[[#This Row],[UID]])))</f>
        <v>0</v>
      </c>
      <c r="ET1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2" s="89" t="str">
        <f aca="false">IF(NOT(Tasks[[#This Row],[_IsLeaf]]=1),"",IF(N(Tasks[[#This Row],[_Days]])&lt;=0,Tasks[[#This Row],[_LeafLateFinish]],WORKDAY.INTL(Tasks[[#This Row],[_LeafLateFinish]],-(Tasks[[#This Row],[_Days]]-1),WorkWeek,Holidays)))</f>
        <v/>
      </c>
      <c r="EW1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2" s="88" t="b">
        <f aca="false">AND(Tasks[[#This Row],[_IsLeaf]]=1,Tasks[[#This Row],[_LeafProgress]]&lt;1,N(Tasks[[#This Row],[_LeafTotalSlack]])&lt;=CriticalSlackDays)</f>
        <v>0</v>
      </c>
      <c r="EY182" s="42" t="n">
        <f aca="false">IF(AND(Tasks[[#This Row],[_IsLeaf]]=1,Tasks[[#This Row],[_ConstraintCode]]=1,Tasks[[#This Row],[Mode]]&lt;&gt;"Manual",N(Tasks[[#This Row],[Actual Start]])=0),MAX(0,N(Tasks[[#This Row],[Free Slack]])),0)</f>
        <v>0</v>
      </c>
      <c r="EZ182" s="89" t="str">
        <f aca="false">IF(NOT(Tasks[[#This Row],[_IsLeaf]]=1),"",IF(Tasks[[#This Row],[_AlapShift]]=0,Tasks[[#This Row],[_LeafCalcStart]],WORKDAY.INTL(Tasks[[#This Row],[_LeafCalcStart]],Tasks[[#This Row],[_AlapShift]],WorkWeek,Holidays)))</f>
        <v/>
      </c>
      <c r="FA182" s="89" t="str">
        <f aca="false">IF(NOT(Tasks[[#This Row],[_IsLeaf]]=1),"",IF(Tasks[[#This Row],[_AlapShift]]=0,Tasks[[#This Row],[_LeafCalcFinish]],WORKDAY.INTL(Tasks[[#This Row],[_LeafCalcFinish]],Tasks[[#This Row],[_AlapShift]],WorkWeek,Holidays)))</f>
        <v/>
      </c>
      <c r="FB182" s="89" t="str">
        <f aca="false">IF(NOT(Tasks[[#This Row],[_IsLeaf]]=1),"",IF(Tasks[[#This Row],[_AlapShift]]=0,Tasks[[#This Row],[_LeafFcstStart]],WORKDAY.INTL(Tasks[[#This Row],[_LeafFcstStart]],Tasks[[#This Row],[_AlapShift]],WorkWeek,Holidays)))</f>
        <v/>
      </c>
      <c r="FC182" s="89" t="str">
        <f aca="false">IF(NOT(Tasks[[#This Row],[_IsLeaf]]=1),"",IF(Tasks[[#This Row],[_AlapShift]]=0,Tasks[[#This Row],[_LeafFcstFinish]],WORKDAY.INTL(Tasks[[#This Row],[_LeafFcstFinish]],Tasks[[#This Row],[_AlapShift]],WorkWeek,Holidays)))</f>
        <v/>
      </c>
      <c r="FD182" s="89" t="str">
        <f aca="false">IF(Tasks[[#This Row],[Task Name]]="","",IF(Tasks[[#This Row],[_IsSummary]],MIN(INDEX(Tasks[_ShownCalcStart],Tasks[[#This Row],[_Row]]+1):INDEX(Tasks[_ShownCalcStart],Tasks[[#This Row],[_Row]]+Tasks[[#This Row],[_Descendants]])),Tasks[[#This Row],[_ShownCalcStart]]))</f>
        <v/>
      </c>
      <c r="FE182" s="89" t="str">
        <f aca="false">IF(Tasks[[#This Row],[Task Name]]="","",IF(Tasks[[#This Row],[_IsSummary]],MAX(INDEX(Tasks[_ShownCalcFinish],Tasks[[#This Row],[_Row]]+1):INDEX(Tasks[_ShownCalcFinish],Tasks[[#This Row],[_Row]]+Tasks[[#This Row],[_Descendants]])),Tasks[[#This Row],[_ShownCalcFinish]]))</f>
        <v/>
      </c>
      <c r="FF1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2" s="42" t="n">
        <f aca="false">IF(AND(Tasks[[#This Row],[_IsLeaf]]=1,Tasks[[#This Row],[_LeafTotalWork]]&gt;0),NETWORKDAYS.INTL(ProjectStart,Tasks[[#This Row],[_ShownFcstStart]],WorkWeek,Holidays),0)</f>
        <v>0</v>
      </c>
      <c r="FS182" s="42" t="n">
        <f aca="false">IF(AND(Tasks[[#This Row],[_IsLeaf]]=1,Tasks[[#This Row],[_LeafTotalWork]]&gt;0),MAX(Tasks[[#This Row],[_StartWorkday]],NETWORKDAYS.INTL(ProjectStart,Tasks[[#This Row],[_ShownFcstFinish]],WorkWeek,Holidays)),0)</f>
        <v>0</v>
      </c>
      <c r="FT182" s="42" t="n">
        <f aca="false">IF(AND(Tasks[[#This Row],[_IsLeaf]]=1,Tasks[[#This Row],[_LeafTotalWork]]&gt;0),Tasks[[#This Row],[_LeafWork]]/(Tasks[[#This Row],[_FinishWorkday]]-Tasks[[#This Row],[_StartWorkday]]+1),0)</f>
        <v>0</v>
      </c>
      <c r="FU182" s="42" t="n">
        <f aca="false">Tasks[[#This Row],[_WorkPerWorkday]]*(Tasks[[#This Row],[_StartWorkday]]-1)</f>
        <v>-0</v>
      </c>
      <c r="FV182" s="42" t="n">
        <f aca="false">IF(Tasks[[#This Row],[_IsLeaf]]=1,MAX(N(Tasks[[#This Row],[_Days]]),0.1),0)</f>
        <v>0</v>
      </c>
      <c r="FW182" s="42" t="n">
        <f aca="false">Tasks[[#This Row],[_WeightDur]]*Tasks[[#This Row],[_LeafProgress]]</f>
        <v>0</v>
      </c>
      <c r="FX182" s="42" t="n">
        <f aca="false">Tasks[[#This Row],[_WeightDur]]*Tasks[[#This Row],[_PlannedPct]]</f>
        <v>0</v>
      </c>
      <c r="FY1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2" s="42" t="str">
        <f aca="false">IF(AND(Tasks[[#This Row],[_IsLeaf]]=1,N(Tasks[[#This Row],[_Days]])=0,Tasks[[#This Row],[_LeafProgress]]&lt;1),Tasks[[#This Row],[_ShownFcstFinish]]+Tasks[[#This Row],[_Row]]/100000,"")</f>
        <v/>
      </c>
      <c r="GA1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2" s="42" t="str">
        <f aca="false">IF(Tasks[[#This Row],[Task Name]]="","",LEFT(Tasks[[#This Row],[WBS]],FIND(".",Tasks[[#This Row],[WBS]]&amp;".")-1))</f>
        <v/>
      </c>
      <c r="GC182" s="42" t="str">
        <f aca="false">IF(AND(Tasks[[#This Row],[Task Name]]&lt;&gt;"",Tasks[[#This Row],[_Level]]=1),Tasks[[#This Row],[_Row]],"")</f>
        <v/>
      </c>
      <c r="GD182" s="42" t="str">
        <f aca="false">IF(AND(Tasks[[#This Row],[_IsLeaf]]=1,N(Tasks[[#This Row],[_Days]])=0),Tasks[[#This Row],[Planned Finish]]+Tasks[[#This Row],[_Row]]/100000,"")</f>
        <v/>
      </c>
      <c r="GE182" s="42" t="str">
        <f aca="false">IF(AND(Tasks[[#This Row],[_IsLeaf]]=1,Tasks[[#This Row],[_LeafProgress]]&lt;1,OR(N(Tasks[[#This Row],[Finish Var]])&gt;0,Tasks[[#This Row],[Status]]="Late Start")),MAX(0,Tasks[[#This Row],[Finish Var]])+1-Tasks[[#This Row],[_Row]]/1000000,"")</f>
        <v/>
      </c>
      <c r="GF182" s="42" t="str">
        <f aca="false">IF(AND(Tasks[[#This Row],[_IsLeaf]]=1,N(Tasks[[#This Row],[Actual Start]])=0,Tasks[[#This Row],[_ShownFcstStart]]&gt;=StatusDate,Tasks[[#This Row],[_ShownFcstStart]]&lt;=LookaheadEnd),Tasks[[#This Row],[_ShownFcstStart]]+Tasks[[#This Row],[_Row]]/100000,"")</f>
        <v/>
      </c>
      <c r="GG182" s="42" t="str">
        <f aca="false">IF(AND(Tasks[[#This Row],[_IsLeaf]]=1,Tasks[[#This Row],[_LeafProgress]]&lt;1,Tasks[[#This Row],[_ShownFcstFinish]]&gt;=StatusDate,Tasks[[#This Row],[_ShownFcstFinish]]&lt;=LookaheadEnd),Tasks[[#This Row],[_ShownFcstFinish]]+Tasks[[#This Row],[_Row]]/100000,"")</f>
        <v/>
      </c>
      <c r="GH182" s="42" t="str">
        <f aca="false">IF(Tasks[[#This Row],[_LeafCritical]],Tasks[[#This Row],[_ShownFcstStart]]+Tasks[[#This Row],[_Row]]/100000,"")</f>
        <v/>
      </c>
      <c r="GI182" s="42" t="n">
        <f aca="false">Tasks[[#This Row],[_LeafWork]]*Tasks[[#This Row],[_LeafProgress]]</f>
        <v>0</v>
      </c>
      <c r="GJ182" s="89" t="str">
        <f aca="false">IF(AND(Tasks[[#This Row],[_IsLeaf]]=1,Tasks[[#This Row],[_LeafProgress]]&gt;=1),IF(N(Tasks[[#This Row],[Actual Finish]])&gt;0,Tasks[[#This Row],[Actual Finish]],Tasks[[#This Row],[_ShownFcstFinish]]),"")</f>
        <v/>
      </c>
      <c r="GK182" s="42" t="n">
        <f aca="false">IF(Tasks[[#This Row],[_IsLeaf]]=1,N(Tasks[[#This Row],[Story Points]]),0)</f>
        <v>0</v>
      </c>
      <c r="GL182" s="42" t="str">
        <f aca="false">""</f>
        <v/>
      </c>
      <c r="GM182" s="88" t="b">
        <f aca="false">IF(Tasks[[#This Row],[Task Name]]="",FALSE(),AND(Tasks[[#This Row],[_IsLeaf]]=1,N(Tasks[[#This Row],[_Days]])=0))</f>
        <v>0</v>
      </c>
      <c r="GN182" s="89" t="n">
        <f aca="false">IF(Tasks[[#This Row],[Task Name]]="",0,IF(AND(Tasks[[#This Row],[_IsLeaf]]=1,NOT(Tasks[[#This Row],[_IsMilestone]]),N(Tasks[[#This Row],[Progress]])&gt;0),Tasks[[#This Row],[Start]],0))</f>
        <v>0</v>
      </c>
      <c r="GO182" s="89" t="n">
        <f aca="false">IF(Tasks[[#This Row],[_DoneFrom]]=0,0,IF(Tasks[[#This Row],[Progress]]&gt;=1,Tasks[[#This Row],[Finish]],MAX(Tasks[[#This Row],[_DoneFrom]],Tasks[[#This Row],[Start]]+ROUND((Tasks[[#This Row],[Finish]]-Tasks[[#This Row],[Start]]+1)*Tasks[[#This Row],[Progress]],0)-1)))</f>
        <v>0</v>
      </c>
      <c r="GP182" s="89" t="n">
        <f aca="false">IF(Tasks[[#This Row],[Task Name]]="",0,IF(OR(NOT(Tasks[[#This Row],[_IsLeaf]]=1),Tasks[[#This Row],[_IsMilestone]],N(Tasks[[#This Row],[Progress]])&gt;=1),0,IF(Tasks[[#This Row],[_DoneTo]]&gt;0,Tasks[[#This Row],[_DoneTo]]+1,Tasks[[#This Row],[Start]])))</f>
        <v>0</v>
      </c>
      <c r="GQ182" s="89" t="n">
        <f aca="false">IF(Tasks[[#This Row],[_RemFrom]]=0,0,Tasks[[#This Row],[Finish]])</f>
        <v>0</v>
      </c>
      <c r="GR182" s="88" t="b">
        <f aca="false">IF(Tasks[[#This Row],[Task Name]]="",FALSE(),OR(NOT(BaselineSet),N(Tasks[[#This Row],[Baseline Start]])&gt;0))</f>
        <v>0</v>
      </c>
      <c r="GS1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2" s="90" t="str">
        <f aca="false">IF(Tasks[[#This Row],[_IsLeaf]]=1,Tasks[[#This Row],[_Row]],"")</f>
        <v/>
      </c>
      <c r="GW182" s="90" t="str">
        <f aca="false">IFERROR(INDEX(Tasks[UID],SMALL(Tasks[_PickKey],Tasks[[#This Row],[_Row]]))&amp;" "&amp;INDEX(Tasks[Task Name],SMALL(Tasks[_PickKey],Tasks[[#This Row],[_Row]])),"")</f>
        <v/>
      </c>
      <c r="GX182" s="42" t="str">
        <f aca="false">IF(Tasks[[#This Row],[Task Name]]="","",IF(Tasks[[#This Row],[_IsSummary]],NETWORKDAYS.INTL(Tasks[[#This Row],[Start]],Tasks[[#This Row],[Finish]],WorkWeek,Holidays),N(Tasks[[#This Row],[_Days]])))</f>
        <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3"/>
      <c r="U183" s="23"/>
      <c r="V183" s="83"/>
      <c r="W183" s="23"/>
      <c r="X183" s="83"/>
      <c r="Y183" s="23"/>
      <c r="Z183" s="83"/>
      <c r="AA183" s="23"/>
      <c r="AB183" s="23"/>
      <c r="AC183" s="7"/>
      <c r="AD183" s="7"/>
      <c r="AE183" s="62" t="str">
        <f aca="false">IF(Tasks[[#This Row],[Task Name]]="","",IF(Tasks[[#This Row],[_IsSummary]],MIN(INDEX(Tasks[_ShownFcstStart],Tasks[[#This Row],[_Row]]+1):INDEX(Tasks[_ShownFcstStart],Tasks[[#This Row],[_Row]]+Tasks[[#This Row],[_Descendants]])),Tasks[[#This Row],[_ShownFcstStart]]))</f>
        <v/>
      </c>
      <c r="AF183" s="62"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3" s="7"/>
      <c r="AK183" s="22"/>
      <c r="AL183" s="23"/>
      <c r="AM183" s="7"/>
      <c r="AN183" s="46"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2" t="str">
        <f aca="false">IF(Tasks[[#This Row],[Task Name]]="","",IF(N(Tasks[[#This Row],[Baseline Start]])&gt;0,Tasks[[#This Row],[Baseline Start]],Tasks[[#This Row],[_CalcStart]]))</f>
        <v/>
      </c>
      <c r="AR183" s="62" t="str">
        <f aca="false">IF(Tasks[[#This Row],[Task Name]]="","",IF(N(Tasks[[#This Row],[Baseline Finish]])&gt;0,Tasks[[#This Row],[Baseline Finish]],Tasks[[#This Row],[_CalcFinish]]))</f>
        <v/>
      </c>
      <c r="AS183" s="46" t="str">
        <f aca="false">IF(Tasks[[#This Row],[Task Name]]="","",IF(Tasks[[#This Row],[Start]]&gt;=Tasks[[#This Row],[Planned Start]],NETWORKDAYS.INTL(Tasks[[#This Row],[Planned Start]],Tasks[[#This Row],[Start]],WorkWeek,Holidays)-1,1-NETWORKDAYS.INTL(Tasks[[#This Row],[Start]],Tasks[[#This Row],[Planned Start]],WorkWeek,Holidays)))</f>
        <v/>
      </c>
      <c r="AT183" s="62" t="str">
        <f aca="false">IF(Tasks[[#This Row],[Task Name]]="","",IF(Tasks[[#This Row],[_IsSummary]],MIN(INDEX(Tasks[_LeafLateStart],Tasks[[#This Row],[_Row]]+1):INDEX(Tasks[_LeafLateStart],Tasks[[#This Row],[_Row]]+Tasks[[#This Row],[_Descendants]])),Tasks[[#This Row],[_LeafLateStart]]))</f>
        <v/>
      </c>
      <c r="AU183" s="62" t="str">
        <f aca="false">IF(Tasks[[#This Row],[Task Name]]="","",IF(Tasks[[#This Row],[_IsSummary]],MAX(INDEX(Tasks[_LeafLateFinish],Tasks[[#This Row],[_Row]]+1):INDEX(Tasks[_LeafLateFinish],Tasks[[#This Row],[_Row]]+Tasks[[#This Row],[_Descendants]])),Tasks[[#This Row],[_LeafLateFinish]]))</f>
        <v/>
      </c>
      <c r="AV183" s="46"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4"/>
      <c r="BA1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5"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6"/>
      <c r="BJ183" s="22"/>
      <c r="BK183" s="46" t="str">
        <f aca="false">IF(OR(Tasks[[#This Row],[Task Name]]="",Tasks[[#This Row],[Baseline Duration]]=""),"",Tasks[[#This Row],[_SpanDays]]-N(Tasks[[#This Row],[Baseline Duration]]))</f>
        <v/>
      </c>
      <c r="BL183" s="85" t="str">
        <f aca="false">IF(OR(Tasks[[#This Row],[Task Name]]="",Tasks[[#This Row],[Baseline Work]]=""),"",Tasks[[#This Row],[Work]]-N(Tasks[[#This Row],[Baseline Work]]))</f>
        <v/>
      </c>
      <c r="BM183" s="62" t="str">
        <f aca="false">IF(Tasks[[#This Row],[Task Name]]="","",IF(OR(TakeBaseline="Yes",N(Tasks[[#This Row],[Baseline Start]])=0),Tasks[[#This Row],[Start]],Tasks[[#This Row],[Baseline Start]]))</f>
        <v/>
      </c>
      <c r="BN183" s="62"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5" t="str">
        <f aca="false">IF(Tasks[[#This Row],[Task Name]]="","",IF(OR(TakeBaseline="Yes",N(Tasks[[#This Row],[Baseline Work]])=0),Tasks[[#This Row],[Work]],Tasks[[#This Row],[Baseline Work]]))</f>
        <v/>
      </c>
      <c r="BQ183" s="7"/>
      <c r="BR183" s="7"/>
      <c r="BS183" s="22"/>
      <c r="BT183" s="87"/>
      <c r="BU183" s="42" t="str">
        <f aca="false">IF(Tasks[[#This Row],[Task Name]]="","",MAX(1,N(Tasks[[#This Row],[Level]])))</f>
        <v/>
      </c>
      <c r="BV183" s="42" t="n">
        <f aca="false">ROW()-ROW(Tasks[[#Headers],[ID]])</f>
        <v>178</v>
      </c>
      <c r="BW183" s="42" t="n">
        <f aca="false">IF(OR(Tasks[[#This Row],[Task Name]]="",Tasks[[#This Row],[_Level]]&lt;=1),0,IFERROR(LOOKUP(2,1/(Tasks[[#Headers],[_Level]]:Tasks[[#This Row],[_Level]]=Tasks[[#This Row],[_Level]]-1),ROW(Tasks[[#Headers],[_Level]]:Tasks[[#This Row],[_Level]])),0))</f>
        <v>0</v>
      </c>
      <c r="BX183" s="42" t="n">
        <f aca="false">IFERROR(N(INDEX(Tasks[_Level],Tasks[[#This Row],[_Row]]+1)),0)</f>
        <v>0</v>
      </c>
      <c r="BY183" s="88" t="b">
        <f aca="false">AND(Tasks[[#This Row],[Task Name]]&lt;&gt;"",Tasks[[#This Row],[_NextLevel]]&gt;Tasks[[#This Row],[_Level]])</f>
        <v>0</v>
      </c>
      <c r="BZ183" s="42" t="n">
        <f aca="false">IF(Tasks[[#This Row],[_IsSummary]],COUNTIF(Tasks[WBS],Tasks[[#This Row],[WBS]]&amp;".*"),0)</f>
        <v>0</v>
      </c>
      <c r="CA183" s="42" t="n">
        <f aca="false">IF(AND(Tasks[[#This Row],[Task Name]]&lt;&gt;"",NOT(Tasks[[#This Row],[_IsSummary]])),1,0)</f>
        <v>0</v>
      </c>
      <c r="CB183" s="42" t="n">
        <f aca="false">IF(N(Tasks[[#This Row],[_Pred1UID]])=0,0,IFERROR(MATCH(Tasks[[#This Row],[_Pred1UID]],Tasks[UID],0),-1))</f>
        <v>0</v>
      </c>
      <c r="CC183" s="42" t="n">
        <f aca="false">IF(N(Tasks[[#This Row],[_Pred2UID]])=0,0,IFERROR(MATCH(Tasks[[#This Row],[_Pred2UID]],Tasks[UID],0),-1))</f>
        <v>0</v>
      </c>
      <c r="CD183" s="42" t="n">
        <f aca="false">IF(N(Tasks[[#This Row],[_Pred3UID]])=0,0,IFERROR(MATCH(Tasks[[#This Row],[_Pred3UID]],Tasks[UID],0),-1))</f>
        <v>0</v>
      </c>
      <c r="CE183" s="42" t="n">
        <f aca="false">IF(N(Tasks[[#This Row],[_Pred4UID]])=0,0,IFERROR(MATCH(Tasks[[#This Row],[_Pred4UID]],Tasks[UID],0),-1))</f>
        <v>0</v>
      </c>
      <c r="CF1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3" s="89" t="n">
        <f aca="false">IF(OR(Tasks[[#This Row],[_ConstraintCode]]=2,Tasks[[#This Row],[_ConstraintCode]]=3,Tasks[[#This Row],[_ConstraintCode]]=4,Tasks[[#This Row],[_ConstraintCode]]=6),Tasks[[#This Row],[_ConstraintStart]],0)</f>
        <v>0</v>
      </c>
      <c r="CI183" s="89" t="n">
        <f aca="false">IF(OR(Tasks[[#This Row],[_ConstraintCode]]=2,Tasks[[#This Row],[_ConstraintCode]]=3,Tasks[[#This Row],[_ConstraintCode]]=5,Tasks[[#This Row],[_ConstraintCode]]=7),Tasks[[#This Row],[_ConstraintStart]],2958465)</f>
        <v>2958465</v>
      </c>
      <c r="CJ1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3" s="89" t="str">
        <f aca="false">IF(NOT(Tasks[[#This Row],[_IsLeaf]]=1),"",IF(N(Tasks[[#This Row],[_Days]])&lt;=0,Tasks[[#This Row],[_LeafCalcStart]],WORKDAY.INTL(Tasks[[#This Row],[_LeafCalcStart]],Tasks[[#This Row],[_Days]]-1,WorkWeek,Holidays)))</f>
        <v/>
      </c>
      <c r="CL1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3" s="42" t="str">
        <f aca="false">IF(Tasks[[#This Row],[_Predecessors]]="","",TRIM(MID(SUBSTITUTE(SUBSTITUTE(SUBSTITUTE(UPPER(Tasks[[#This Row],[_Predecessors]]),";",",")," ",""),",",REPT(" ",99)),1,99)))</f>
        <v/>
      </c>
      <c r="CO183" s="42" t="str">
        <f aca="false">IF(Tasks[[#This Row],[_Pred1Text]]="","",IFERROR(VALUE(LEFT(Tasks[[#This Row],[_Pred1Text]],MIN(FIND("F",Tasks[[#This Row],[_Pred1Text]]&amp;"F"),FIND("S",Tasks[[#This Row],[_Pred1Text]]&amp;"S"),FIND("+",Tasks[[#This Row],[_Pred1Text]]&amp;"+"),FIND("-",Tasks[[#This Row],[_Pred1Text]]&amp;"-"))-1)),""))</f>
        <v/>
      </c>
      <c r="CP1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3" s="42" t="str">
        <f aca="false">IF(Tasks[[#This Row],[_Pred1Text]]="","",TRIM(MID(SUBSTITUTE(SUBSTITUTE(SUBSTITUTE(UPPER(Tasks[[#This Row],[_Predecessors]]),";",",")," ",""),",",REPT(" ",99)),100,99)))</f>
        <v/>
      </c>
      <c r="CS183" s="42" t="str">
        <f aca="false">IF(Tasks[[#This Row],[_Pred2Text]]="","",IFERROR(VALUE(LEFT(Tasks[[#This Row],[_Pred2Text]],MIN(FIND("F",Tasks[[#This Row],[_Pred2Text]]&amp;"F"),FIND("S",Tasks[[#This Row],[_Pred2Text]]&amp;"S"),FIND("+",Tasks[[#This Row],[_Pred2Text]]&amp;"+"),FIND("-",Tasks[[#This Row],[_Pred2Text]]&amp;"-"))-1)),""))</f>
        <v/>
      </c>
      <c r="CT1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3" s="42" t="str">
        <f aca="false">IF(Tasks[[#This Row],[_Pred2Text]]="","",TRIM(MID(SUBSTITUTE(SUBSTITUTE(SUBSTITUTE(UPPER(Tasks[[#This Row],[_Predecessors]]),";",",")," ",""),",",REPT(" ",99)),199,99)))</f>
        <v/>
      </c>
      <c r="CW183" s="42" t="str">
        <f aca="false">IF(Tasks[[#This Row],[_Pred3Text]]="","",IFERROR(VALUE(LEFT(Tasks[[#This Row],[_Pred3Text]],MIN(FIND("F",Tasks[[#This Row],[_Pred3Text]]&amp;"F"),FIND("S",Tasks[[#This Row],[_Pred3Text]]&amp;"S"),FIND("+",Tasks[[#This Row],[_Pred3Text]]&amp;"+"),FIND("-",Tasks[[#This Row],[_Pred3Text]]&amp;"-"))-1)),""))</f>
        <v/>
      </c>
      <c r="CX1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3" s="42" t="str">
        <f aca="false">IF(Tasks[[#This Row],[_Pred3Text]]="","",TRIM(MID(SUBSTITUTE(SUBSTITUTE(SUBSTITUTE(UPPER(Tasks[[#This Row],[_Predecessors]]),";",",")," ",""),",",REPT(" ",99)),298,99)))</f>
        <v/>
      </c>
      <c r="DA183" s="42" t="str">
        <f aca="false">IF(Tasks[[#This Row],[_Pred4Text]]="","",IFERROR(VALUE(LEFT(Tasks[[#This Row],[_Pred4Text]],MIN(FIND("F",Tasks[[#This Row],[_Pred4Text]]&amp;"F"),FIND("S",Tasks[[#This Row],[_Pred4Text]]&amp;"S"),FIND("+",Tasks[[#This Row],[_Pred4Text]]&amp;"+"),FIND("-",Tasks[[#This Row],[_Pred4Text]]&amp;"-"))-1)),""))</f>
        <v/>
      </c>
      <c r="DB1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3" s="42" t="str">
        <f aca="false">IF(OR(Tasks[[#This Row],[Task Name]]="",Tasks[[#This Row],[_Resources]]=""),"",TRIM(MID(SUBSTITUTE(Tasks[[#This Row],[_Resources]],",",REPT(" ",99)),1,99)))</f>
        <v/>
      </c>
      <c r="DE183" s="42" t="str">
        <f aca="false">IF(Tasks[[#This Row],[_Res1Text]]="","",TRIM(MID(SUBSTITUTE(Tasks[[#This Row],[_Resources]],",",REPT(" ",99)),100,99)))</f>
        <v/>
      </c>
      <c r="DF183" s="42" t="str">
        <f aca="false">IF(Tasks[[#This Row],[_Res2Text]]="","",TRIM(MID(SUBSTITUTE(Tasks[[#This Row],[_Resources]],",",REPT(" ",99)),199,99)))</f>
        <v/>
      </c>
      <c r="DG183" s="42" t="str">
        <f aca="false">IF(Tasks[[#This Row],[_Res3Text]]="","",TRIM(MID(SUBSTITUTE(Tasks[[#This Row],[_Resources]],",",REPT(" ",99)),298,99)))</f>
        <v/>
      </c>
      <c r="DH183" s="42" t="n">
        <f aca="false">IF(Tasks[[#This Row],[_Res1Text]]="",0,IFERROR(MATCH(TRIM(LEFT(Tasks[[#This Row],[_Res1Text]],FIND("[",Tasks[[#This Row],[_Res1Text]]&amp;"[")-1)),res_Name,0),IFERROR(MATCH(TRIM(LEFT(Tasks[[#This Row],[_Res1Text]],FIND("[",Tasks[[#This Row],[_Res1Text]]&amp;"[")-1)),res_Initials,0),0)))</f>
        <v>0</v>
      </c>
      <c r="DI183" s="42" t="n">
        <f aca="false">IF(Tasks[[#This Row],[_Res2Text]]="",0,IFERROR(MATCH(TRIM(LEFT(Tasks[[#This Row],[_Res2Text]],FIND("[",Tasks[[#This Row],[_Res2Text]]&amp;"[")-1)),res_Name,0),IFERROR(MATCH(TRIM(LEFT(Tasks[[#This Row],[_Res2Text]],FIND("[",Tasks[[#This Row],[_Res2Text]]&amp;"[")-1)),res_Initials,0),0)))</f>
        <v>0</v>
      </c>
      <c r="DJ183" s="42" t="n">
        <f aca="false">IF(Tasks[[#This Row],[_Res3Text]]="",0,IFERROR(MATCH(TRIM(LEFT(Tasks[[#This Row],[_Res3Text]],FIND("[",Tasks[[#This Row],[_Res3Text]]&amp;"[")-1)),res_Name,0),IFERROR(MATCH(TRIM(LEFT(Tasks[[#This Row],[_Res3Text]],FIND("[",Tasks[[#This Row],[_Res3Text]]&amp;"[")-1)),res_Initials,0),0)))</f>
        <v>0</v>
      </c>
      <c r="DK183" s="42" t="n">
        <f aca="false">IF(Tasks[[#This Row],[_Res4Text]]="",0,IFERROR(MATCH(TRIM(LEFT(Tasks[[#This Row],[_Res4Text]],FIND("[",Tasks[[#This Row],[_Res4Text]]&amp;"[")-1)),res_Name,0),IFERROR(MATCH(TRIM(LEFT(Tasks[[#This Row],[_Res4Text]],FIND("[",Tasks[[#This Row],[_Res4Text]]&amp;"[")-1)),res_Initials,0),0)))</f>
        <v>0</v>
      </c>
      <c r="DL183" s="42" t="str">
        <f aca="false">IF(Tasks[[#This Row],[_Res1Text]]="","",IF(Tasks[[#This Row],[_Res1Row]]&gt;0,INDEX(res_Name,Tasks[[#This Row],[_Res1Row]]),TRIM(LEFT(Tasks[[#This Row],[_Res1Text]],FIND("[",Tasks[[#This Row],[_Res1Text]]&amp;"[")-1))))</f>
        <v/>
      </c>
      <c r="DM1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3" s="42" t="n">
        <f aca="false">IF(NOT(Tasks[[#This Row],[_IsLeaf]]=1),0,(Tasks[[#This Row],[_Resource1]]&lt;&gt;"")+(Tasks[[#This Row],[_Res2]]&lt;&gt;"")+(Tasks[[#This Row],[_Res3]]&lt;&gt;"")+(Tasks[[#This Row],[_Res4]]&lt;&gt;""))</f>
        <v>0</v>
      </c>
      <c r="DO183" s="42" t="str">
        <f aca="false">IF(Tasks[[#This Row],[_Res2Text]]="","",IF(Tasks[[#This Row],[_Res2Row]]&gt;0,INDEX(res_Name,Tasks[[#This Row],[_Res2Row]]),TRIM(LEFT(Tasks[[#This Row],[_Res2Text]],FIND("[",Tasks[[#This Row],[_Res2Text]]&amp;"[")-1))))</f>
        <v/>
      </c>
      <c r="DP1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3" s="42" t="n">
        <f aca="false">IF(OR(NOT(Tasks[[#This Row],[_IsLeaf]]=1),Tasks[[#This Row],[_Res2Row]]=0),0,N(Tasks[[#This Row],[_Days]])*HoursPerDay*IF(Tasks[[#This Row],[_Res2Units]]="",DefaultUnits,Tasks[[#This Row],[_Res2Units]]))</f>
        <v>0</v>
      </c>
      <c r="DR183" s="42" t="n">
        <f aca="false">IF(AND(AND(Tasks[[#This Row],[_IsLeaf]]=1,Tasks[[#This Row],[_LeafTotalWork]]&gt;0),Tasks[[#This Row],[_Res2Work]]&gt;0),Tasks[[#This Row],[_Res2Work]]/(Tasks[[#This Row],[_FinishWorkday]]-Tasks[[#This Row],[_StartWorkday]]+1),0)</f>
        <v>0</v>
      </c>
      <c r="DS183" s="42" t="n">
        <f aca="false">Tasks[[#This Row],[_Res2WorkPerWD]]*MAX(0,Tasks[[#This Row],[_StartWorkday]]-1)</f>
        <v>0</v>
      </c>
      <c r="DT183" s="42" t="n">
        <f aca="false">Tasks[[#This Row],[_Res2Work]]*Tasks[[#This Row],[_LeafProgress]]</f>
        <v>0</v>
      </c>
      <c r="DU183" s="42" t="str">
        <f aca="false">IF(Tasks[[#This Row],[_Res3Text]]="","",IF(Tasks[[#This Row],[_Res3Row]]&gt;0,INDEX(res_Name,Tasks[[#This Row],[_Res3Row]]),TRIM(LEFT(Tasks[[#This Row],[_Res3Text]],FIND("[",Tasks[[#This Row],[_Res3Text]]&amp;"[")-1))))</f>
        <v/>
      </c>
      <c r="DV1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3" s="42" t="n">
        <f aca="false">IF(OR(NOT(Tasks[[#This Row],[_IsLeaf]]=1),Tasks[[#This Row],[_Res3Row]]=0),0,N(Tasks[[#This Row],[_Days]])*HoursPerDay*IF(Tasks[[#This Row],[_Res3Units]]="",DefaultUnits,Tasks[[#This Row],[_Res3Units]]))</f>
        <v>0</v>
      </c>
      <c r="DX183" s="42" t="n">
        <f aca="false">IF(AND(AND(Tasks[[#This Row],[_IsLeaf]]=1,Tasks[[#This Row],[_LeafTotalWork]]&gt;0),Tasks[[#This Row],[_Res3Work]]&gt;0),Tasks[[#This Row],[_Res3Work]]/(Tasks[[#This Row],[_FinishWorkday]]-Tasks[[#This Row],[_StartWorkday]]+1),0)</f>
        <v>0</v>
      </c>
      <c r="DY183" s="42" t="n">
        <f aca="false">Tasks[[#This Row],[_Res3WorkPerWD]]*MAX(0,Tasks[[#This Row],[_StartWorkday]]-1)</f>
        <v>0</v>
      </c>
      <c r="DZ183" s="42" t="n">
        <f aca="false">Tasks[[#This Row],[_Res3Work]]*Tasks[[#This Row],[_LeafProgress]]</f>
        <v>0</v>
      </c>
      <c r="EA183" s="42" t="str">
        <f aca="false">IF(Tasks[[#This Row],[_Res4Text]]="","",IF(Tasks[[#This Row],[_Res4Row]]&gt;0,INDEX(res_Name,Tasks[[#This Row],[_Res4Row]]),TRIM(LEFT(Tasks[[#This Row],[_Res4Text]],FIND("[",Tasks[[#This Row],[_Res4Text]]&amp;"[")-1))))</f>
        <v/>
      </c>
      <c r="EB1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3" s="42" t="n">
        <f aca="false">IF(OR(NOT(Tasks[[#This Row],[_IsLeaf]]=1),Tasks[[#This Row],[_Res4Row]]=0),0,N(Tasks[[#This Row],[_Days]])*HoursPerDay*IF(Tasks[[#This Row],[_Res4Units]]="",DefaultUnits,Tasks[[#This Row],[_Res4Units]]))</f>
        <v>0</v>
      </c>
      <c r="ED183" s="42" t="n">
        <f aca="false">IF(AND(AND(Tasks[[#This Row],[_IsLeaf]]=1,Tasks[[#This Row],[_LeafTotalWork]]&gt;0),Tasks[[#This Row],[_Res4Work]]&gt;0),Tasks[[#This Row],[_Res4Work]]/(Tasks[[#This Row],[_FinishWorkday]]-Tasks[[#This Row],[_StartWorkday]]+1),0)</f>
        <v>0</v>
      </c>
      <c r="EE183" s="42" t="n">
        <f aca="false">Tasks[[#This Row],[_Res4WorkPerWD]]*MAX(0,Tasks[[#This Row],[_StartWorkday]]-1)</f>
        <v>0</v>
      </c>
      <c r="EF183" s="42" t="n">
        <f aca="false">Tasks[[#This Row],[_Res4Work]]*Tasks[[#This Row],[_LeafProgress]]</f>
        <v>0</v>
      </c>
      <c r="EG183" s="42" t="n">
        <f aca="false">IF(ISNUMBER(Tasks[[#This Row],[% Complete]]),Tasks[[#This Row],[% Complete]],IF(Tasks[[#This Row],[Stage]]="",0,IFERROR(INDEX(stg_Pct,MATCH(Tasks[[#This Row],[Stage]],stg_Name,0)),0)))</f>
        <v>0</v>
      </c>
      <c r="EH183" s="42" t="n">
        <f aca="false">IF(NOT(Tasks[[#This Row],[_IsLeaf]]=1),0,IF(N(Tasks[[#This Row],[Actual Finish]])&gt;0,1,MIN(1,Tasks[[#This Row],[_Pct]])))</f>
        <v>0</v>
      </c>
      <c r="EI183" s="42" t="n">
        <f aca="false">IF(OR(NOT(Tasks[[#This Row],[_IsLeaf]]=1),Tasks[[#This Row],[_Res1Row]]=0),0,N(Tasks[[#This Row],[_Days]])*HoursPerDay*IF(Tasks[[#This Row],[_Units1]]="",DefaultUnits,Tasks[[#This Row],[_Units1]]))</f>
        <v>0</v>
      </c>
      <c r="EJ183" s="42" t="n">
        <f aca="false">Tasks[[#This Row],[_LeafWork]]+Tasks[[#This Row],[_Res2Work]]+Tasks[[#This Row],[_Res3Work]]+Tasks[[#This Row],[_Res4Work]]</f>
        <v>0</v>
      </c>
      <c r="EK1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3" s="42" t="n">
        <f aca="false">IF(NOT(Tasks[[#This Row],[_IsLeaf]]=1),0,MAX(_xlfn.MAXIFS(Tasks[_Row],Tasks[_Pred1UID],Tasks[[#This Row],[UID]]),_xlfn.MAXIFS(Tasks[_Row],Tasks[_Pred2UID],Tasks[[#This Row],[UID]]),_xlfn.MAXIFS(Tasks[_Row],Tasks[_Pred3UID],Tasks[[#This Row],[UID]]),_xlfn.MAXIFS(Tasks[_Row],Tasks[_Pred4UID],Tasks[[#This Row],[UID]])))</f>
        <v>0</v>
      </c>
      <c r="ET1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3" s="89" t="str">
        <f aca="false">IF(NOT(Tasks[[#This Row],[_IsLeaf]]=1),"",IF(N(Tasks[[#This Row],[_Days]])&lt;=0,Tasks[[#This Row],[_LeafLateFinish]],WORKDAY.INTL(Tasks[[#This Row],[_LeafLateFinish]],-(Tasks[[#This Row],[_Days]]-1),WorkWeek,Holidays)))</f>
        <v/>
      </c>
      <c r="EW1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3" s="88" t="b">
        <f aca="false">AND(Tasks[[#This Row],[_IsLeaf]]=1,Tasks[[#This Row],[_LeafProgress]]&lt;1,N(Tasks[[#This Row],[_LeafTotalSlack]])&lt;=CriticalSlackDays)</f>
        <v>0</v>
      </c>
      <c r="EY183" s="42" t="n">
        <f aca="false">IF(AND(Tasks[[#This Row],[_IsLeaf]]=1,Tasks[[#This Row],[_ConstraintCode]]=1,Tasks[[#This Row],[Mode]]&lt;&gt;"Manual",N(Tasks[[#This Row],[Actual Start]])=0),MAX(0,N(Tasks[[#This Row],[Free Slack]])),0)</f>
        <v>0</v>
      </c>
      <c r="EZ183" s="89" t="str">
        <f aca="false">IF(NOT(Tasks[[#This Row],[_IsLeaf]]=1),"",IF(Tasks[[#This Row],[_AlapShift]]=0,Tasks[[#This Row],[_LeafCalcStart]],WORKDAY.INTL(Tasks[[#This Row],[_LeafCalcStart]],Tasks[[#This Row],[_AlapShift]],WorkWeek,Holidays)))</f>
        <v/>
      </c>
      <c r="FA183" s="89" t="str">
        <f aca="false">IF(NOT(Tasks[[#This Row],[_IsLeaf]]=1),"",IF(Tasks[[#This Row],[_AlapShift]]=0,Tasks[[#This Row],[_LeafCalcFinish]],WORKDAY.INTL(Tasks[[#This Row],[_LeafCalcFinish]],Tasks[[#This Row],[_AlapShift]],WorkWeek,Holidays)))</f>
        <v/>
      </c>
      <c r="FB183" s="89" t="str">
        <f aca="false">IF(NOT(Tasks[[#This Row],[_IsLeaf]]=1),"",IF(Tasks[[#This Row],[_AlapShift]]=0,Tasks[[#This Row],[_LeafFcstStart]],WORKDAY.INTL(Tasks[[#This Row],[_LeafFcstStart]],Tasks[[#This Row],[_AlapShift]],WorkWeek,Holidays)))</f>
        <v/>
      </c>
      <c r="FC183" s="89" t="str">
        <f aca="false">IF(NOT(Tasks[[#This Row],[_IsLeaf]]=1),"",IF(Tasks[[#This Row],[_AlapShift]]=0,Tasks[[#This Row],[_LeafFcstFinish]],WORKDAY.INTL(Tasks[[#This Row],[_LeafFcstFinish]],Tasks[[#This Row],[_AlapShift]],WorkWeek,Holidays)))</f>
        <v/>
      </c>
      <c r="FD183" s="89" t="str">
        <f aca="false">IF(Tasks[[#This Row],[Task Name]]="","",IF(Tasks[[#This Row],[_IsSummary]],MIN(INDEX(Tasks[_ShownCalcStart],Tasks[[#This Row],[_Row]]+1):INDEX(Tasks[_ShownCalcStart],Tasks[[#This Row],[_Row]]+Tasks[[#This Row],[_Descendants]])),Tasks[[#This Row],[_ShownCalcStart]]))</f>
        <v/>
      </c>
      <c r="FE183" s="89" t="str">
        <f aca="false">IF(Tasks[[#This Row],[Task Name]]="","",IF(Tasks[[#This Row],[_IsSummary]],MAX(INDEX(Tasks[_ShownCalcFinish],Tasks[[#This Row],[_Row]]+1):INDEX(Tasks[_ShownCalcFinish],Tasks[[#This Row],[_Row]]+Tasks[[#This Row],[_Descendants]])),Tasks[[#This Row],[_ShownCalcFinish]]))</f>
        <v/>
      </c>
      <c r="FF1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3" s="42" t="n">
        <f aca="false">IF(AND(Tasks[[#This Row],[_IsLeaf]]=1,Tasks[[#This Row],[_LeafTotalWork]]&gt;0),NETWORKDAYS.INTL(ProjectStart,Tasks[[#This Row],[_ShownFcstStart]],WorkWeek,Holidays),0)</f>
        <v>0</v>
      </c>
      <c r="FS183" s="42" t="n">
        <f aca="false">IF(AND(Tasks[[#This Row],[_IsLeaf]]=1,Tasks[[#This Row],[_LeafTotalWork]]&gt;0),MAX(Tasks[[#This Row],[_StartWorkday]],NETWORKDAYS.INTL(ProjectStart,Tasks[[#This Row],[_ShownFcstFinish]],WorkWeek,Holidays)),0)</f>
        <v>0</v>
      </c>
      <c r="FT183" s="42" t="n">
        <f aca="false">IF(AND(Tasks[[#This Row],[_IsLeaf]]=1,Tasks[[#This Row],[_LeafTotalWork]]&gt;0),Tasks[[#This Row],[_LeafWork]]/(Tasks[[#This Row],[_FinishWorkday]]-Tasks[[#This Row],[_StartWorkday]]+1),0)</f>
        <v>0</v>
      </c>
      <c r="FU183" s="42" t="n">
        <f aca="false">Tasks[[#This Row],[_WorkPerWorkday]]*(Tasks[[#This Row],[_StartWorkday]]-1)</f>
        <v>-0</v>
      </c>
      <c r="FV183" s="42" t="n">
        <f aca="false">IF(Tasks[[#This Row],[_IsLeaf]]=1,MAX(N(Tasks[[#This Row],[_Days]]),0.1),0)</f>
        <v>0</v>
      </c>
      <c r="FW183" s="42" t="n">
        <f aca="false">Tasks[[#This Row],[_WeightDur]]*Tasks[[#This Row],[_LeafProgress]]</f>
        <v>0</v>
      </c>
      <c r="FX183" s="42" t="n">
        <f aca="false">Tasks[[#This Row],[_WeightDur]]*Tasks[[#This Row],[_PlannedPct]]</f>
        <v>0</v>
      </c>
      <c r="FY1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3" s="42" t="str">
        <f aca="false">IF(AND(Tasks[[#This Row],[_IsLeaf]]=1,N(Tasks[[#This Row],[_Days]])=0,Tasks[[#This Row],[_LeafProgress]]&lt;1),Tasks[[#This Row],[_ShownFcstFinish]]+Tasks[[#This Row],[_Row]]/100000,"")</f>
        <v/>
      </c>
      <c r="GA1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3" s="42" t="str">
        <f aca="false">IF(Tasks[[#This Row],[Task Name]]="","",LEFT(Tasks[[#This Row],[WBS]],FIND(".",Tasks[[#This Row],[WBS]]&amp;".")-1))</f>
        <v/>
      </c>
      <c r="GC183" s="42" t="str">
        <f aca="false">IF(AND(Tasks[[#This Row],[Task Name]]&lt;&gt;"",Tasks[[#This Row],[_Level]]=1),Tasks[[#This Row],[_Row]],"")</f>
        <v/>
      </c>
      <c r="GD183" s="42" t="str">
        <f aca="false">IF(AND(Tasks[[#This Row],[_IsLeaf]]=1,N(Tasks[[#This Row],[_Days]])=0),Tasks[[#This Row],[Planned Finish]]+Tasks[[#This Row],[_Row]]/100000,"")</f>
        <v/>
      </c>
      <c r="GE183" s="42" t="str">
        <f aca="false">IF(AND(Tasks[[#This Row],[_IsLeaf]]=1,Tasks[[#This Row],[_LeafProgress]]&lt;1,OR(N(Tasks[[#This Row],[Finish Var]])&gt;0,Tasks[[#This Row],[Status]]="Late Start")),MAX(0,Tasks[[#This Row],[Finish Var]])+1-Tasks[[#This Row],[_Row]]/1000000,"")</f>
        <v/>
      </c>
      <c r="GF183" s="42" t="str">
        <f aca="false">IF(AND(Tasks[[#This Row],[_IsLeaf]]=1,N(Tasks[[#This Row],[Actual Start]])=0,Tasks[[#This Row],[_ShownFcstStart]]&gt;=StatusDate,Tasks[[#This Row],[_ShownFcstStart]]&lt;=LookaheadEnd),Tasks[[#This Row],[_ShownFcstStart]]+Tasks[[#This Row],[_Row]]/100000,"")</f>
        <v/>
      </c>
      <c r="GG183" s="42" t="str">
        <f aca="false">IF(AND(Tasks[[#This Row],[_IsLeaf]]=1,Tasks[[#This Row],[_LeafProgress]]&lt;1,Tasks[[#This Row],[_ShownFcstFinish]]&gt;=StatusDate,Tasks[[#This Row],[_ShownFcstFinish]]&lt;=LookaheadEnd),Tasks[[#This Row],[_ShownFcstFinish]]+Tasks[[#This Row],[_Row]]/100000,"")</f>
        <v/>
      </c>
      <c r="GH183" s="42" t="str">
        <f aca="false">IF(Tasks[[#This Row],[_LeafCritical]],Tasks[[#This Row],[_ShownFcstStart]]+Tasks[[#This Row],[_Row]]/100000,"")</f>
        <v/>
      </c>
      <c r="GI183" s="42" t="n">
        <f aca="false">Tasks[[#This Row],[_LeafWork]]*Tasks[[#This Row],[_LeafProgress]]</f>
        <v>0</v>
      </c>
      <c r="GJ183" s="89" t="str">
        <f aca="false">IF(AND(Tasks[[#This Row],[_IsLeaf]]=1,Tasks[[#This Row],[_LeafProgress]]&gt;=1),IF(N(Tasks[[#This Row],[Actual Finish]])&gt;0,Tasks[[#This Row],[Actual Finish]],Tasks[[#This Row],[_ShownFcstFinish]]),"")</f>
        <v/>
      </c>
      <c r="GK183" s="42" t="n">
        <f aca="false">IF(Tasks[[#This Row],[_IsLeaf]]=1,N(Tasks[[#This Row],[Story Points]]),0)</f>
        <v>0</v>
      </c>
      <c r="GL183" s="42" t="str">
        <f aca="false">""</f>
        <v/>
      </c>
      <c r="GM183" s="88" t="b">
        <f aca="false">IF(Tasks[[#This Row],[Task Name]]="",FALSE(),AND(Tasks[[#This Row],[_IsLeaf]]=1,N(Tasks[[#This Row],[_Days]])=0))</f>
        <v>0</v>
      </c>
      <c r="GN183" s="89" t="n">
        <f aca="false">IF(Tasks[[#This Row],[Task Name]]="",0,IF(AND(Tasks[[#This Row],[_IsLeaf]]=1,NOT(Tasks[[#This Row],[_IsMilestone]]),N(Tasks[[#This Row],[Progress]])&gt;0),Tasks[[#This Row],[Start]],0))</f>
        <v>0</v>
      </c>
      <c r="GO183" s="89" t="n">
        <f aca="false">IF(Tasks[[#This Row],[_DoneFrom]]=0,0,IF(Tasks[[#This Row],[Progress]]&gt;=1,Tasks[[#This Row],[Finish]],MAX(Tasks[[#This Row],[_DoneFrom]],Tasks[[#This Row],[Start]]+ROUND((Tasks[[#This Row],[Finish]]-Tasks[[#This Row],[Start]]+1)*Tasks[[#This Row],[Progress]],0)-1)))</f>
        <v>0</v>
      </c>
      <c r="GP183" s="89" t="n">
        <f aca="false">IF(Tasks[[#This Row],[Task Name]]="",0,IF(OR(NOT(Tasks[[#This Row],[_IsLeaf]]=1),Tasks[[#This Row],[_IsMilestone]],N(Tasks[[#This Row],[Progress]])&gt;=1),0,IF(Tasks[[#This Row],[_DoneTo]]&gt;0,Tasks[[#This Row],[_DoneTo]]+1,Tasks[[#This Row],[Start]])))</f>
        <v>0</v>
      </c>
      <c r="GQ183" s="89" t="n">
        <f aca="false">IF(Tasks[[#This Row],[_RemFrom]]=0,0,Tasks[[#This Row],[Finish]])</f>
        <v>0</v>
      </c>
      <c r="GR183" s="88" t="b">
        <f aca="false">IF(Tasks[[#This Row],[Task Name]]="",FALSE(),OR(NOT(BaselineSet),N(Tasks[[#This Row],[Baseline Start]])&gt;0))</f>
        <v>0</v>
      </c>
      <c r="GS1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3" s="90" t="str">
        <f aca="false">IF(Tasks[[#This Row],[_IsLeaf]]=1,Tasks[[#This Row],[_Row]],"")</f>
        <v/>
      </c>
      <c r="GW183" s="90" t="str">
        <f aca="false">IFERROR(INDEX(Tasks[UID],SMALL(Tasks[_PickKey],Tasks[[#This Row],[_Row]]))&amp;" "&amp;INDEX(Tasks[Task Name],SMALL(Tasks[_PickKey],Tasks[[#This Row],[_Row]])),"")</f>
        <v/>
      </c>
      <c r="GX183" s="42" t="str">
        <f aca="false">IF(Tasks[[#This Row],[Task Name]]="","",IF(Tasks[[#This Row],[_IsSummary]],NETWORKDAYS.INTL(Tasks[[#This Row],[Start]],Tasks[[#This Row],[Finish]],WorkWeek,Holidays),N(Tasks[[#This Row],[_Days]])))</f>
        <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3"/>
      <c r="U184" s="23"/>
      <c r="V184" s="83"/>
      <c r="W184" s="23"/>
      <c r="X184" s="83"/>
      <c r="Y184" s="23"/>
      <c r="Z184" s="83"/>
      <c r="AA184" s="23"/>
      <c r="AB184" s="23"/>
      <c r="AC184" s="7"/>
      <c r="AD184" s="7"/>
      <c r="AE184" s="62" t="str">
        <f aca="false">IF(Tasks[[#This Row],[Task Name]]="","",IF(Tasks[[#This Row],[_IsSummary]],MIN(INDEX(Tasks[_ShownFcstStart],Tasks[[#This Row],[_Row]]+1):INDEX(Tasks[_ShownFcstStart],Tasks[[#This Row],[_Row]]+Tasks[[#This Row],[_Descendants]])),Tasks[[#This Row],[_ShownFcstStart]]))</f>
        <v/>
      </c>
      <c r="AF184" s="62"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4" s="7"/>
      <c r="AK184" s="22"/>
      <c r="AL184" s="23"/>
      <c r="AM184" s="7"/>
      <c r="AN184" s="46"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2" t="str">
        <f aca="false">IF(Tasks[[#This Row],[Task Name]]="","",IF(N(Tasks[[#This Row],[Baseline Start]])&gt;0,Tasks[[#This Row],[Baseline Start]],Tasks[[#This Row],[_CalcStart]]))</f>
        <v/>
      </c>
      <c r="AR184" s="62" t="str">
        <f aca="false">IF(Tasks[[#This Row],[Task Name]]="","",IF(N(Tasks[[#This Row],[Baseline Finish]])&gt;0,Tasks[[#This Row],[Baseline Finish]],Tasks[[#This Row],[_CalcFinish]]))</f>
        <v/>
      </c>
      <c r="AS184" s="46" t="str">
        <f aca="false">IF(Tasks[[#This Row],[Task Name]]="","",IF(Tasks[[#This Row],[Start]]&gt;=Tasks[[#This Row],[Planned Start]],NETWORKDAYS.INTL(Tasks[[#This Row],[Planned Start]],Tasks[[#This Row],[Start]],WorkWeek,Holidays)-1,1-NETWORKDAYS.INTL(Tasks[[#This Row],[Start]],Tasks[[#This Row],[Planned Start]],WorkWeek,Holidays)))</f>
        <v/>
      </c>
      <c r="AT184" s="62" t="str">
        <f aca="false">IF(Tasks[[#This Row],[Task Name]]="","",IF(Tasks[[#This Row],[_IsSummary]],MIN(INDEX(Tasks[_LeafLateStart],Tasks[[#This Row],[_Row]]+1):INDEX(Tasks[_LeafLateStart],Tasks[[#This Row],[_Row]]+Tasks[[#This Row],[_Descendants]])),Tasks[[#This Row],[_LeafLateStart]]))</f>
        <v/>
      </c>
      <c r="AU184" s="62" t="str">
        <f aca="false">IF(Tasks[[#This Row],[Task Name]]="","",IF(Tasks[[#This Row],[_IsSummary]],MAX(INDEX(Tasks[_LeafLateFinish],Tasks[[#This Row],[_Row]]+1):INDEX(Tasks[_LeafLateFinish],Tasks[[#This Row],[_Row]]+Tasks[[#This Row],[_Descendants]])),Tasks[[#This Row],[_LeafLateFinish]]))</f>
        <v/>
      </c>
      <c r="AV184" s="46"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4"/>
      <c r="BA1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5"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6"/>
      <c r="BJ184" s="22"/>
      <c r="BK184" s="46" t="str">
        <f aca="false">IF(OR(Tasks[[#This Row],[Task Name]]="",Tasks[[#This Row],[Baseline Duration]]=""),"",Tasks[[#This Row],[_SpanDays]]-N(Tasks[[#This Row],[Baseline Duration]]))</f>
        <v/>
      </c>
      <c r="BL184" s="85" t="str">
        <f aca="false">IF(OR(Tasks[[#This Row],[Task Name]]="",Tasks[[#This Row],[Baseline Work]]=""),"",Tasks[[#This Row],[Work]]-N(Tasks[[#This Row],[Baseline Work]]))</f>
        <v/>
      </c>
      <c r="BM184" s="62" t="str">
        <f aca="false">IF(Tasks[[#This Row],[Task Name]]="","",IF(OR(TakeBaseline="Yes",N(Tasks[[#This Row],[Baseline Start]])=0),Tasks[[#This Row],[Start]],Tasks[[#This Row],[Baseline Start]]))</f>
        <v/>
      </c>
      <c r="BN184" s="62"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5" t="str">
        <f aca="false">IF(Tasks[[#This Row],[Task Name]]="","",IF(OR(TakeBaseline="Yes",N(Tasks[[#This Row],[Baseline Work]])=0),Tasks[[#This Row],[Work]],Tasks[[#This Row],[Baseline Work]]))</f>
        <v/>
      </c>
      <c r="BQ184" s="7"/>
      <c r="BR184" s="7"/>
      <c r="BS184" s="22"/>
      <c r="BT184" s="87"/>
      <c r="BU184" s="42" t="str">
        <f aca="false">IF(Tasks[[#This Row],[Task Name]]="","",MAX(1,N(Tasks[[#This Row],[Level]])))</f>
        <v/>
      </c>
      <c r="BV184" s="42" t="n">
        <f aca="false">ROW()-ROW(Tasks[[#Headers],[ID]])</f>
        <v>179</v>
      </c>
      <c r="BW184" s="42" t="n">
        <f aca="false">IF(OR(Tasks[[#This Row],[Task Name]]="",Tasks[[#This Row],[_Level]]&lt;=1),0,IFERROR(LOOKUP(2,1/(Tasks[[#Headers],[_Level]]:Tasks[[#This Row],[_Level]]=Tasks[[#This Row],[_Level]]-1),ROW(Tasks[[#Headers],[_Level]]:Tasks[[#This Row],[_Level]])),0))</f>
        <v>0</v>
      </c>
      <c r="BX184" s="42" t="n">
        <f aca="false">IFERROR(N(INDEX(Tasks[_Level],Tasks[[#This Row],[_Row]]+1)),0)</f>
        <v>0</v>
      </c>
      <c r="BY184" s="88" t="b">
        <f aca="false">AND(Tasks[[#This Row],[Task Name]]&lt;&gt;"",Tasks[[#This Row],[_NextLevel]]&gt;Tasks[[#This Row],[_Level]])</f>
        <v>0</v>
      </c>
      <c r="BZ184" s="42" t="n">
        <f aca="false">IF(Tasks[[#This Row],[_IsSummary]],COUNTIF(Tasks[WBS],Tasks[[#This Row],[WBS]]&amp;".*"),0)</f>
        <v>0</v>
      </c>
      <c r="CA184" s="42" t="n">
        <f aca="false">IF(AND(Tasks[[#This Row],[Task Name]]&lt;&gt;"",NOT(Tasks[[#This Row],[_IsSummary]])),1,0)</f>
        <v>0</v>
      </c>
      <c r="CB184" s="42" t="n">
        <f aca="false">IF(N(Tasks[[#This Row],[_Pred1UID]])=0,0,IFERROR(MATCH(Tasks[[#This Row],[_Pred1UID]],Tasks[UID],0),-1))</f>
        <v>0</v>
      </c>
      <c r="CC184" s="42" t="n">
        <f aca="false">IF(N(Tasks[[#This Row],[_Pred2UID]])=0,0,IFERROR(MATCH(Tasks[[#This Row],[_Pred2UID]],Tasks[UID],0),-1))</f>
        <v>0</v>
      </c>
      <c r="CD184" s="42" t="n">
        <f aca="false">IF(N(Tasks[[#This Row],[_Pred3UID]])=0,0,IFERROR(MATCH(Tasks[[#This Row],[_Pred3UID]],Tasks[UID],0),-1))</f>
        <v>0</v>
      </c>
      <c r="CE184" s="42" t="n">
        <f aca="false">IF(N(Tasks[[#This Row],[_Pred4UID]])=0,0,IFERROR(MATCH(Tasks[[#This Row],[_Pred4UID]],Tasks[UID],0),-1))</f>
        <v>0</v>
      </c>
      <c r="CF1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4" s="89" t="n">
        <f aca="false">IF(OR(Tasks[[#This Row],[_ConstraintCode]]=2,Tasks[[#This Row],[_ConstraintCode]]=3,Tasks[[#This Row],[_ConstraintCode]]=4,Tasks[[#This Row],[_ConstraintCode]]=6),Tasks[[#This Row],[_ConstraintStart]],0)</f>
        <v>0</v>
      </c>
      <c r="CI184" s="89" t="n">
        <f aca="false">IF(OR(Tasks[[#This Row],[_ConstraintCode]]=2,Tasks[[#This Row],[_ConstraintCode]]=3,Tasks[[#This Row],[_ConstraintCode]]=5,Tasks[[#This Row],[_ConstraintCode]]=7),Tasks[[#This Row],[_ConstraintStart]],2958465)</f>
        <v>2958465</v>
      </c>
      <c r="CJ1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4" s="89" t="str">
        <f aca="false">IF(NOT(Tasks[[#This Row],[_IsLeaf]]=1),"",IF(N(Tasks[[#This Row],[_Days]])&lt;=0,Tasks[[#This Row],[_LeafCalcStart]],WORKDAY.INTL(Tasks[[#This Row],[_LeafCalcStart]],Tasks[[#This Row],[_Days]]-1,WorkWeek,Holidays)))</f>
        <v/>
      </c>
      <c r="CL1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4" s="42" t="str">
        <f aca="false">IF(Tasks[[#This Row],[_Predecessors]]="","",TRIM(MID(SUBSTITUTE(SUBSTITUTE(SUBSTITUTE(UPPER(Tasks[[#This Row],[_Predecessors]]),";",",")," ",""),",",REPT(" ",99)),1,99)))</f>
        <v/>
      </c>
      <c r="CO184" s="42" t="str">
        <f aca="false">IF(Tasks[[#This Row],[_Pred1Text]]="","",IFERROR(VALUE(LEFT(Tasks[[#This Row],[_Pred1Text]],MIN(FIND("F",Tasks[[#This Row],[_Pred1Text]]&amp;"F"),FIND("S",Tasks[[#This Row],[_Pred1Text]]&amp;"S"),FIND("+",Tasks[[#This Row],[_Pred1Text]]&amp;"+"),FIND("-",Tasks[[#This Row],[_Pred1Text]]&amp;"-"))-1)),""))</f>
        <v/>
      </c>
      <c r="CP1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4" s="42" t="str">
        <f aca="false">IF(Tasks[[#This Row],[_Pred1Text]]="","",TRIM(MID(SUBSTITUTE(SUBSTITUTE(SUBSTITUTE(UPPER(Tasks[[#This Row],[_Predecessors]]),";",",")," ",""),",",REPT(" ",99)),100,99)))</f>
        <v/>
      </c>
      <c r="CS184" s="42" t="str">
        <f aca="false">IF(Tasks[[#This Row],[_Pred2Text]]="","",IFERROR(VALUE(LEFT(Tasks[[#This Row],[_Pred2Text]],MIN(FIND("F",Tasks[[#This Row],[_Pred2Text]]&amp;"F"),FIND("S",Tasks[[#This Row],[_Pred2Text]]&amp;"S"),FIND("+",Tasks[[#This Row],[_Pred2Text]]&amp;"+"),FIND("-",Tasks[[#This Row],[_Pred2Text]]&amp;"-"))-1)),""))</f>
        <v/>
      </c>
      <c r="CT1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4" s="42" t="str">
        <f aca="false">IF(Tasks[[#This Row],[_Pred2Text]]="","",TRIM(MID(SUBSTITUTE(SUBSTITUTE(SUBSTITUTE(UPPER(Tasks[[#This Row],[_Predecessors]]),";",",")," ",""),",",REPT(" ",99)),199,99)))</f>
        <v/>
      </c>
      <c r="CW184" s="42" t="str">
        <f aca="false">IF(Tasks[[#This Row],[_Pred3Text]]="","",IFERROR(VALUE(LEFT(Tasks[[#This Row],[_Pred3Text]],MIN(FIND("F",Tasks[[#This Row],[_Pred3Text]]&amp;"F"),FIND("S",Tasks[[#This Row],[_Pred3Text]]&amp;"S"),FIND("+",Tasks[[#This Row],[_Pred3Text]]&amp;"+"),FIND("-",Tasks[[#This Row],[_Pred3Text]]&amp;"-"))-1)),""))</f>
        <v/>
      </c>
      <c r="CX1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4" s="42" t="str">
        <f aca="false">IF(Tasks[[#This Row],[_Pred3Text]]="","",TRIM(MID(SUBSTITUTE(SUBSTITUTE(SUBSTITUTE(UPPER(Tasks[[#This Row],[_Predecessors]]),";",",")," ",""),",",REPT(" ",99)),298,99)))</f>
        <v/>
      </c>
      <c r="DA184" s="42" t="str">
        <f aca="false">IF(Tasks[[#This Row],[_Pred4Text]]="","",IFERROR(VALUE(LEFT(Tasks[[#This Row],[_Pred4Text]],MIN(FIND("F",Tasks[[#This Row],[_Pred4Text]]&amp;"F"),FIND("S",Tasks[[#This Row],[_Pred4Text]]&amp;"S"),FIND("+",Tasks[[#This Row],[_Pred4Text]]&amp;"+"),FIND("-",Tasks[[#This Row],[_Pred4Text]]&amp;"-"))-1)),""))</f>
        <v/>
      </c>
      <c r="DB1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4" s="42" t="str">
        <f aca="false">IF(OR(Tasks[[#This Row],[Task Name]]="",Tasks[[#This Row],[_Resources]]=""),"",TRIM(MID(SUBSTITUTE(Tasks[[#This Row],[_Resources]],",",REPT(" ",99)),1,99)))</f>
        <v/>
      </c>
      <c r="DE184" s="42" t="str">
        <f aca="false">IF(Tasks[[#This Row],[_Res1Text]]="","",TRIM(MID(SUBSTITUTE(Tasks[[#This Row],[_Resources]],",",REPT(" ",99)),100,99)))</f>
        <v/>
      </c>
      <c r="DF184" s="42" t="str">
        <f aca="false">IF(Tasks[[#This Row],[_Res2Text]]="","",TRIM(MID(SUBSTITUTE(Tasks[[#This Row],[_Resources]],",",REPT(" ",99)),199,99)))</f>
        <v/>
      </c>
      <c r="DG184" s="42" t="str">
        <f aca="false">IF(Tasks[[#This Row],[_Res3Text]]="","",TRIM(MID(SUBSTITUTE(Tasks[[#This Row],[_Resources]],",",REPT(" ",99)),298,99)))</f>
        <v/>
      </c>
      <c r="DH184" s="42" t="n">
        <f aca="false">IF(Tasks[[#This Row],[_Res1Text]]="",0,IFERROR(MATCH(TRIM(LEFT(Tasks[[#This Row],[_Res1Text]],FIND("[",Tasks[[#This Row],[_Res1Text]]&amp;"[")-1)),res_Name,0),IFERROR(MATCH(TRIM(LEFT(Tasks[[#This Row],[_Res1Text]],FIND("[",Tasks[[#This Row],[_Res1Text]]&amp;"[")-1)),res_Initials,0),0)))</f>
        <v>0</v>
      </c>
      <c r="DI184" s="42" t="n">
        <f aca="false">IF(Tasks[[#This Row],[_Res2Text]]="",0,IFERROR(MATCH(TRIM(LEFT(Tasks[[#This Row],[_Res2Text]],FIND("[",Tasks[[#This Row],[_Res2Text]]&amp;"[")-1)),res_Name,0),IFERROR(MATCH(TRIM(LEFT(Tasks[[#This Row],[_Res2Text]],FIND("[",Tasks[[#This Row],[_Res2Text]]&amp;"[")-1)),res_Initials,0),0)))</f>
        <v>0</v>
      </c>
      <c r="DJ184" s="42" t="n">
        <f aca="false">IF(Tasks[[#This Row],[_Res3Text]]="",0,IFERROR(MATCH(TRIM(LEFT(Tasks[[#This Row],[_Res3Text]],FIND("[",Tasks[[#This Row],[_Res3Text]]&amp;"[")-1)),res_Name,0),IFERROR(MATCH(TRIM(LEFT(Tasks[[#This Row],[_Res3Text]],FIND("[",Tasks[[#This Row],[_Res3Text]]&amp;"[")-1)),res_Initials,0),0)))</f>
        <v>0</v>
      </c>
      <c r="DK184" s="42" t="n">
        <f aca="false">IF(Tasks[[#This Row],[_Res4Text]]="",0,IFERROR(MATCH(TRIM(LEFT(Tasks[[#This Row],[_Res4Text]],FIND("[",Tasks[[#This Row],[_Res4Text]]&amp;"[")-1)),res_Name,0),IFERROR(MATCH(TRIM(LEFT(Tasks[[#This Row],[_Res4Text]],FIND("[",Tasks[[#This Row],[_Res4Text]]&amp;"[")-1)),res_Initials,0),0)))</f>
        <v>0</v>
      </c>
      <c r="DL184" s="42" t="str">
        <f aca="false">IF(Tasks[[#This Row],[_Res1Text]]="","",IF(Tasks[[#This Row],[_Res1Row]]&gt;0,INDEX(res_Name,Tasks[[#This Row],[_Res1Row]]),TRIM(LEFT(Tasks[[#This Row],[_Res1Text]],FIND("[",Tasks[[#This Row],[_Res1Text]]&amp;"[")-1))))</f>
        <v/>
      </c>
      <c r="DM1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4" s="42" t="n">
        <f aca="false">IF(NOT(Tasks[[#This Row],[_IsLeaf]]=1),0,(Tasks[[#This Row],[_Resource1]]&lt;&gt;"")+(Tasks[[#This Row],[_Res2]]&lt;&gt;"")+(Tasks[[#This Row],[_Res3]]&lt;&gt;"")+(Tasks[[#This Row],[_Res4]]&lt;&gt;""))</f>
        <v>0</v>
      </c>
      <c r="DO184" s="42" t="str">
        <f aca="false">IF(Tasks[[#This Row],[_Res2Text]]="","",IF(Tasks[[#This Row],[_Res2Row]]&gt;0,INDEX(res_Name,Tasks[[#This Row],[_Res2Row]]),TRIM(LEFT(Tasks[[#This Row],[_Res2Text]],FIND("[",Tasks[[#This Row],[_Res2Text]]&amp;"[")-1))))</f>
        <v/>
      </c>
      <c r="DP1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4" s="42" t="n">
        <f aca="false">IF(OR(NOT(Tasks[[#This Row],[_IsLeaf]]=1),Tasks[[#This Row],[_Res2Row]]=0),0,N(Tasks[[#This Row],[_Days]])*HoursPerDay*IF(Tasks[[#This Row],[_Res2Units]]="",DefaultUnits,Tasks[[#This Row],[_Res2Units]]))</f>
        <v>0</v>
      </c>
      <c r="DR184" s="42" t="n">
        <f aca="false">IF(AND(AND(Tasks[[#This Row],[_IsLeaf]]=1,Tasks[[#This Row],[_LeafTotalWork]]&gt;0),Tasks[[#This Row],[_Res2Work]]&gt;0),Tasks[[#This Row],[_Res2Work]]/(Tasks[[#This Row],[_FinishWorkday]]-Tasks[[#This Row],[_StartWorkday]]+1),0)</f>
        <v>0</v>
      </c>
      <c r="DS184" s="42" t="n">
        <f aca="false">Tasks[[#This Row],[_Res2WorkPerWD]]*MAX(0,Tasks[[#This Row],[_StartWorkday]]-1)</f>
        <v>0</v>
      </c>
      <c r="DT184" s="42" t="n">
        <f aca="false">Tasks[[#This Row],[_Res2Work]]*Tasks[[#This Row],[_LeafProgress]]</f>
        <v>0</v>
      </c>
      <c r="DU184" s="42" t="str">
        <f aca="false">IF(Tasks[[#This Row],[_Res3Text]]="","",IF(Tasks[[#This Row],[_Res3Row]]&gt;0,INDEX(res_Name,Tasks[[#This Row],[_Res3Row]]),TRIM(LEFT(Tasks[[#This Row],[_Res3Text]],FIND("[",Tasks[[#This Row],[_Res3Text]]&amp;"[")-1))))</f>
        <v/>
      </c>
      <c r="DV1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4" s="42" t="n">
        <f aca="false">IF(OR(NOT(Tasks[[#This Row],[_IsLeaf]]=1),Tasks[[#This Row],[_Res3Row]]=0),0,N(Tasks[[#This Row],[_Days]])*HoursPerDay*IF(Tasks[[#This Row],[_Res3Units]]="",DefaultUnits,Tasks[[#This Row],[_Res3Units]]))</f>
        <v>0</v>
      </c>
      <c r="DX184" s="42" t="n">
        <f aca="false">IF(AND(AND(Tasks[[#This Row],[_IsLeaf]]=1,Tasks[[#This Row],[_LeafTotalWork]]&gt;0),Tasks[[#This Row],[_Res3Work]]&gt;0),Tasks[[#This Row],[_Res3Work]]/(Tasks[[#This Row],[_FinishWorkday]]-Tasks[[#This Row],[_StartWorkday]]+1),0)</f>
        <v>0</v>
      </c>
      <c r="DY184" s="42" t="n">
        <f aca="false">Tasks[[#This Row],[_Res3WorkPerWD]]*MAX(0,Tasks[[#This Row],[_StartWorkday]]-1)</f>
        <v>0</v>
      </c>
      <c r="DZ184" s="42" t="n">
        <f aca="false">Tasks[[#This Row],[_Res3Work]]*Tasks[[#This Row],[_LeafProgress]]</f>
        <v>0</v>
      </c>
      <c r="EA184" s="42" t="str">
        <f aca="false">IF(Tasks[[#This Row],[_Res4Text]]="","",IF(Tasks[[#This Row],[_Res4Row]]&gt;0,INDEX(res_Name,Tasks[[#This Row],[_Res4Row]]),TRIM(LEFT(Tasks[[#This Row],[_Res4Text]],FIND("[",Tasks[[#This Row],[_Res4Text]]&amp;"[")-1))))</f>
        <v/>
      </c>
      <c r="EB1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4" s="42" t="n">
        <f aca="false">IF(OR(NOT(Tasks[[#This Row],[_IsLeaf]]=1),Tasks[[#This Row],[_Res4Row]]=0),0,N(Tasks[[#This Row],[_Days]])*HoursPerDay*IF(Tasks[[#This Row],[_Res4Units]]="",DefaultUnits,Tasks[[#This Row],[_Res4Units]]))</f>
        <v>0</v>
      </c>
      <c r="ED184" s="42" t="n">
        <f aca="false">IF(AND(AND(Tasks[[#This Row],[_IsLeaf]]=1,Tasks[[#This Row],[_LeafTotalWork]]&gt;0),Tasks[[#This Row],[_Res4Work]]&gt;0),Tasks[[#This Row],[_Res4Work]]/(Tasks[[#This Row],[_FinishWorkday]]-Tasks[[#This Row],[_StartWorkday]]+1),0)</f>
        <v>0</v>
      </c>
      <c r="EE184" s="42" t="n">
        <f aca="false">Tasks[[#This Row],[_Res4WorkPerWD]]*MAX(0,Tasks[[#This Row],[_StartWorkday]]-1)</f>
        <v>0</v>
      </c>
      <c r="EF184" s="42" t="n">
        <f aca="false">Tasks[[#This Row],[_Res4Work]]*Tasks[[#This Row],[_LeafProgress]]</f>
        <v>0</v>
      </c>
      <c r="EG184" s="42" t="n">
        <f aca="false">IF(ISNUMBER(Tasks[[#This Row],[% Complete]]),Tasks[[#This Row],[% Complete]],IF(Tasks[[#This Row],[Stage]]="",0,IFERROR(INDEX(stg_Pct,MATCH(Tasks[[#This Row],[Stage]],stg_Name,0)),0)))</f>
        <v>0</v>
      </c>
      <c r="EH184" s="42" t="n">
        <f aca="false">IF(NOT(Tasks[[#This Row],[_IsLeaf]]=1),0,IF(N(Tasks[[#This Row],[Actual Finish]])&gt;0,1,MIN(1,Tasks[[#This Row],[_Pct]])))</f>
        <v>0</v>
      </c>
      <c r="EI184" s="42" t="n">
        <f aca="false">IF(OR(NOT(Tasks[[#This Row],[_IsLeaf]]=1),Tasks[[#This Row],[_Res1Row]]=0),0,N(Tasks[[#This Row],[_Days]])*HoursPerDay*IF(Tasks[[#This Row],[_Units1]]="",DefaultUnits,Tasks[[#This Row],[_Units1]]))</f>
        <v>0</v>
      </c>
      <c r="EJ184" s="42" t="n">
        <f aca="false">Tasks[[#This Row],[_LeafWork]]+Tasks[[#This Row],[_Res2Work]]+Tasks[[#This Row],[_Res3Work]]+Tasks[[#This Row],[_Res4Work]]</f>
        <v>0</v>
      </c>
      <c r="EK1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4" s="42" t="n">
        <f aca="false">IF(NOT(Tasks[[#This Row],[_IsLeaf]]=1),0,MAX(_xlfn.MAXIFS(Tasks[_Row],Tasks[_Pred1UID],Tasks[[#This Row],[UID]]),_xlfn.MAXIFS(Tasks[_Row],Tasks[_Pred2UID],Tasks[[#This Row],[UID]]),_xlfn.MAXIFS(Tasks[_Row],Tasks[_Pred3UID],Tasks[[#This Row],[UID]]),_xlfn.MAXIFS(Tasks[_Row],Tasks[_Pred4UID],Tasks[[#This Row],[UID]])))</f>
        <v>0</v>
      </c>
      <c r="ET1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4" s="89" t="str">
        <f aca="false">IF(NOT(Tasks[[#This Row],[_IsLeaf]]=1),"",IF(N(Tasks[[#This Row],[_Days]])&lt;=0,Tasks[[#This Row],[_LeafLateFinish]],WORKDAY.INTL(Tasks[[#This Row],[_LeafLateFinish]],-(Tasks[[#This Row],[_Days]]-1),WorkWeek,Holidays)))</f>
        <v/>
      </c>
      <c r="EW1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4" s="88" t="b">
        <f aca="false">AND(Tasks[[#This Row],[_IsLeaf]]=1,Tasks[[#This Row],[_LeafProgress]]&lt;1,N(Tasks[[#This Row],[_LeafTotalSlack]])&lt;=CriticalSlackDays)</f>
        <v>0</v>
      </c>
      <c r="EY184" s="42" t="n">
        <f aca="false">IF(AND(Tasks[[#This Row],[_IsLeaf]]=1,Tasks[[#This Row],[_ConstraintCode]]=1,Tasks[[#This Row],[Mode]]&lt;&gt;"Manual",N(Tasks[[#This Row],[Actual Start]])=0),MAX(0,N(Tasks[[#This Row],[Free Slack]])),0)</f>
        <v>0</v>
      </c>
      <c r="EZ184" s="89" t="str">
        <f aca="false">IF(NOT(Tasks[[#This Row],[_IsLeaf]]=1),"",IF(Tasks[[#This Row],[_AlapShift]]=0,Tasks[[#This Row],[_LeafCalcStart]],WORKDAY.INTL(Tasks[[#This Row],[_LeafCalcStart]],Tasks[[#This Row],[_AlapShift]],WorkWeek,Holidays)))</f>
        <v/>
      </c>
      <c r="FA184" s="89" t="str">
        <f aca="false">IF(NOT(Tasks[[#This Row],[_IsLeaf]]=1),"",IF(Tasks[[#This Row],[_AlapShift]]=0,Tasks[[#This Row],[_LeafCalcFinish]],WORKDAY.INTL(Tasks[[#This Row],[_LeafCalcFinish]],Tasks[[#This Row],[_AlapShift]],WorkWeek,Holidays)))</f>
        <v/>
      </c>
      <c r="FB184" s="89" t="str">
        <f aca="false">IF(NOT(Tasks[[#This Row],[_IsLeaf]]=1),"",IF(Tasks[[#This Row],[_AlapShift]]=0,Tasks[[#This Row],[_LeafFcstStart]],WORKDAY.INTL(Tasks[[#This Row],[_LeafFcstStart]],Tasks[[#This Row],[_AlapShift]],WorkWeek,Holidays)))</f>
        <v/>
      </c>
      <c r="FC184" s="89" t="str">
        <f aca="false">IF(NOT(Tasks[[#This Row],[_IsLeaf]]=1),"",IF(Tasks[[#This Row],[_AlapShift]]=0,Tasks[[#This Row],[_LeafFcstFinish]],WORKDAY.INTL(Tasks[[#This Row],[_LeafFcstFinish]],Tasks[[#This Row],[_AlapShift]],WorkWeek,Holidays)))</f>
        <v/>
      </c>
      <c r="FD184" s="89" t="str">
        <f aca="false">IF(Tasks[[#This Row],[Task Name]]="","",IF(Tasks[[#This Row],[_IsSummary]],MIN(INDEX(Tasks[_ShownCalcStart],Tasks[[#This Row],[_Row]]+1):INDEX(Tasks[_ShownCalcStart],Tasks[[#This Row],[_Row]]+Tasks[[#This Row],[_Descendants]])),Tasks[[#This Row],[_ShownCalcStart]]))</f>
        <v/>
      </c>
      <c r="FE184" s="89" t="str">
        <f aca="false">IF(Tasks[[#This Row],[Task Name]]="","",IF(Tasks[[#This Row],[_IsSummary]],MAX(INDEX(Tasks[_ShownCalcFinish],Tasks[[#This Row],[_Row]]+1):INDEX(Tasks[_ShownCalcFinish],Tasks[[#This Row],[_Row]]+Tasks[[#This Row],[_Descendants]])),Tasks[[#This Row],[_ShownCalcFinish]]))</f>
        <v/>
      </c>
      <c r="FF1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4" s="42" t="n">
        <f aca="false">IF(AND(Tasks[[#This Row],[_IsLeaf]]=1,Tasks[[#This Row],[_LeafTotalWork]]&gt;0),NETWORKDAYS.INTL(ProjectStart,Tasks[[#This Row],[_ShownFcstStart]],WorkWeek,Holidays),0)</f>
        <v>0</v>
      </c>
      <c r="FS184" s="42" t="n">
        <f aca="false">IF(AND(Tasks[[#This Row],[_IsLeaf]]=1,Tasks[[#This Row],[_LeafTotalWork]]&gt;0),MAX(Tasks[[#This Row],[_StartWorkday]],NETWORKDAYS.INTL(ProjectStart,Tasks[[#This Row],[_ShownFcstFinish]],WorkWeek,Holidays)),0)</f>
        <v>0</v>
      </c>
      <c r="FT184" s="42" t="n">
        <f aca="false">IF(AND(Tasks[[#This Row],[_IsLeaf]]=1,Tasks[[#This Row],[_LeafTotalWork]]&gt;0),Tasks[[#This Row],[_LeafWork]]/(Tasks[[#This Row],[_FinishWorkday]]-Tasks[[#This Row],[_StartWorkday]]+1),0)</f>
        <v>0</v>
      </c>
      <c r="FU184" s="42" t="n">
        <f aca="false">Tasks[[#This Row],[_WorkPerWorkday]]*(Tasks[[#This Row],[_StartWorkday]]-1)</f>
        <v>-0</v>
      </c>
      <c r="FV184" s="42" t="n">
        <f aca="false">IF(Tasks[[#This Row],[_IsLeaf]]=1,MAX(N(Tasks[[#This Row],[_Days]]),0.1),0)</f>
        <v>0</v>
      </c>
      <c r="FW184" s="42" t="n">
        <f aca="false">Tasks[[#This Row],[_WeightDur]]*Tasks[[#This Row],[_LeafProgress]]</f>
        <v>0</v>
      </c>
      <c r="FX184" s="42" t="n">
        <f aca="false">Tasks[[#This Row],[_WeightDur]]*Tasks[[#This Row],[_PlannedPct]]</f>
        <v>0</v>
      </c>
      <c r="FY1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4" s="42" t="str">
        <f aca="false">IF(AND(Tasks[[#This Row],[_IsLeaf]]=1,N(Tasks[[#This Row],[_Days]])=0,Tasks[[#This Row],[_LeafProgress]]&lt;1),Tasks[[#This Row],[_ShownFcstFinish]]+Tasks[[#This Row],[_Row]]/100000,"")</f>
        <v/>
      </c>
      <c r="GA1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4" s="42" t="str">
        <f aca="false">IF(Tasks[[#This Row],[Task Name]]="","",LEFT(Tasks[[#This Row],[WBS]],FIND(".",Tasks[[#This Row],[WBS]]&amp;".")-1))</f>
        <v/>
      </c>
      <c r="GC184" s="42" t="str">
        <f aca="false">IF(AND(Tasks[[#This Row],[Task Name]]&lt;&gt;"",Tasks[[#This Row],[_Level]]=1),Tasks[[#This Row],[_Row]],"")</f>
        <v/>
      </c>
      <c r="GD184" s="42" t="str">
        <f aca="false">IF(AND(Tasks[[#This Row],[_IsLeaf]]=1,N(Tasks[[#This Row],[_Days]])=0),Tasks[[#This Row],[Planned Finish]]+Tasks[[#This Row],[_Row]]/100000,"")</f>
        <v/>
      </c>
      <c r="GE184" s="42" t="str">
        <f aca="false">IF(AND(Tasks[[#This Row],[_IsLeaf]]=1,Tasks[[#This Row],[_LeafProgress]]&lt;1,OR(N(Tasks[[#This Row],[Finish Var]])&gt;0,Tasks[[#This Row],[Status]]="Late Start")),MAX(0,Tasks[[#This Row],[Finish Var]])+1-Tasks[[#This Row],[_Row]]/1000000,"")</f>
        <v/>
      </c>
      <c r="GF184" s="42" t="str">
        <f aca="false">IF(AND(Tasks[[#This Row],[_IsLeaf]]=1,N(Tasks[[#This Row],[Actual Start]])=0,Tasks[[#This Row],[_ShownFcstStart]]&gt;=StatusDate,Tasks[[#This Row],[_ShownFcstStart]]&lt;=LookaheadEnd),Tasks[[#This Row],[_ShownFcstStart]]+Tasks[[#This Row],[_Row]]/100000,"")</f>
        <v/>
      </c>
      <c r="GG184" s="42" t="str">
        <f aca="false">IF(AND(Tasks[[#This Row],[_IsLeaf]]=1,Tasks[[#This Row],[_LeafProgress]]&lt;1,Tasks[[#This Row],[_ShownFcstFinish]]&gt;=StatusDate,Tasks[[#This Row],[_ShownFcstFinish]]&lt;=LookaheadEnd),Tasks[[#This Row],[_ShownFcstFinish]]+Tasks[[#This Row],[_Row]]/100000,"")</f>
        <v/>
      </c>
      <c r="GH184" s="42" t="str">
        <f aca="false">IF(Tasks[[#This Row],[_LeafCritical]],Tasks[[#This Row],[_ShownFcstStart]]+Tasks[[#This Row],[_Row]]/100000,"")</f>
        <v/>
      </c>
      <c r="GI184" s="42" t="n">
        <f aca="false">Tasks[[#This Row],[_LeafWork]]*Tasks[[#This Row],[_LeafProgress]]</f>
        <v>0</v>
      </c>
      <c r="GJ184" s="89" t="str">
        <f aca="false">IF(AND(Tasks[[#This Row],[_IsLeaf]]=1,Tasks[[#This Row],[_LeafProgress]]&gt;=1),IF(N(Tasks[[#This Row],[Actual Finish]])&gt;0,Tasks[[#This Row],[Actual Finish]],Tasks[[#This Row],[_ShownFcstFinish]]),"")</f>
        <v/>
      </c>
      <c r="GK184" s="42" t="n">
        <f aca="false">IF(Tasks[[#This Row],[_IsLeaf]]=1,N(Tasks[[#This Row],[Story Points]]),0)</f>
        <v>0</v>
      </c>
      <c r="GL184" s="42" t="str">
        <f aca="false">""</f>
        <v/>
      </c>
      <c r="GM184" s="88" t="b">
        <f aca="false">IF(Tasks[[#This Row],[Task Name]]="",FALSE(),AND(Tasks[[#This Row],[_IsLeaf]]=1,N(Tasks[[#This Row],[_Days]])=0))</f>
        <v>0</v>
      </c>
      <c r="GN184" s="89" t="n">
        <f aca="false">IF(Tasks[[#This Row],[Task Name]]="",0,IF(AND(Tasks[[#This Row],[_IsLeaf]]=1,NOT(Tasks[[#This Row],[_IsMilestone]]),N(Tasks[[#This Row],[Progress]])&gt;0),Tasks[[#This Row],[Start]],0))</f>
        <v>0</v>
      </c>
      <c r="GO184" s="89" t="n">
        <f aca="false">IF(Tasks[[#This Row],[_DoneFrom]]=0,0,IF(Tasks[[#This Row],[Progress]]&gt;=1,Tasks[[#This Row],[Finish]],MAX(Tasks[[#This Row],[_DoneFrom]],Tasks[[#This Row],[Start]]+ROUND((Tasks[[#This Row],[Finish]]-Tasks[[#This Row],[Start]]+1)*Tasks[[#This Row],[Progress]],0)-1)))</f>
        <v>0</v>
      </c>
      <c r="GP184" s="89" t="n">
        <f aca="false">IF(Tasks[[#This Row],[Task Name]]="",0,IF(OR(NOT(Tasks[[#This Row],[_IsLeaf]]=1),Tasks[[#This Row],[_IsMilestone]],N(Tasks[[#This Row],[Progress]])&gt;=1),0,IF(Tasks[[#This Row],[_DoneTo]]&gt;0,Tasks[[#This Row],[_DoneTo]]+1,Tasks[[#This Row],[Start]])))</f>
        <v>0</v>
      </c>
      <c r="GQ184" s="89" t="n">
        <f aca="false">IF(Tasks[[#This Row],[_RemFrom]]=0,0,Tasks[[#This Row],[Finish]])</f>
        <v>0</v>
      </c>
      <c r="GR184" s="88" t="b">
        <f aca="false">IF(Tasks[[#This Row],[Task Name]]="",FALSE(),OR(NOT(BaselineSet),N(Tasks[[#This Row],[Baseline Start]])&gt;0))</f>
        <v>0</v>
      </c>
      <c r="GS1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4" s="90" t="str">
        <f aca="false">IF(Tasks[[#This Row],[_IsLeaf]]=1,Tasks[[#This Row],[_Row]],"")</f>
        <v/>
      </c>
      <c r="GW184" s="90" t="str">
        <f aca="false">IFERROR(INDEX(Tasks[UID],SMALL(Tasks[_PickKey],Tasks[[#This Row],[_Row]]))&amp;" "&amp;INDEX(Tasks[Task Name],SMALL(Tasks[_PickKey],Tasks[[#This Row],[_Row]])),"")</f>
        <v/>
      </c>
      <c r="GX184" s="42" t="str">
        <f aca="false">IF(Tasks[[#This Row],[Task Name]]="","",IF(Tasks[[#This Row],[_IsSummary]],NETWORKDAYS.INTL(Tasks[[#This Row],[Start]],Tasks[[#This Row],[Finish]],WorkWeek,Holidays),N(Tasks[[#This Row],[_Days]])))</f>
        <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3"/>
      <c r="U185" s="23"/>
      <c r="V185" s="83"/>
      <c r="W185" s="23"/>
      <c r="X185" s="83"/>
      <c r="Y185" s="23"/>
      <c r="Z185" s="83"/>
      <c r="AA185" s="23"/>
      <c r="AB185" s="23"/>
      <c r="AC185" s="7"/>
      <c r="AD185" s="7"/>
      <c r="AE185" s="62" t="str">
        <f aca="false">IF(Tasks[[#This Row],[Task Name]]="","",IF(Tasks[[#This Row],[_IsSummary]],MIN(INDEX(Tasks[_ShownFcstStart],Tasks[[#This Row],[_Row]]+1):INDEX(Tasks[_ShownFcstStart],Tasks[[#This Row],[_Row]]+Tasks[[#This Row],[_Descendants]])),Tasks[[#This Row],[_ShownFcstStart]]))</f>
        <v/>
      </c>
      <c r="AF185" s="62"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5" s="7"/>
      <c r="AK185" s="22"/>
      <c r="AL185" s="23"/>
      <c r="AM185" s="7"/>
      <c r="AN185" s="46"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2" t="str">
        <f aca="false">IF(Tasks[[#This Row],[Task Name]]="","",IF(N(Tasks[[#This Row],[Baseline Start]])&gt;0,Tasks[[#This Row],[Baseline Start]],Tasks[[#This Row],[_CalcStart]]))</f>
        <v/>
      </c>
      <c r="AR185" s="62" t="str">
        <f aca="false">IF(Tasks[[#This Row],[Task Name]]="","",IF(N(Tasks[[#This Row],[Baseline Finish]])&gt;0,Tasks[[#This Row],[Baseline Finish]],Tasks[[#This Row],[_CalcFinish]]))</f>
        <v/>
      </c>
      <c r="AS185" s="46" t="str">
        <f aca="false">IF(Tasks[[#This Row],[Task Name]]="","",IF(Tasks[[#This Row],[Start]]&gt;=Tasks[[#This Row],[Planned Start]],NETWORKDAYS.INTL(Tasks[[#This Row],[Planned Start]],Tasks[[#This Row],[Start]],WorkWeek,Holidays)-1,1-NETWORKDAYS.INTL(Tasks[[#This Row],[Start]],Tasks[[#This Row],[Planned Start]],WorkWeek,Holidays)))</f>
        <v/>
      </c>
      <c r="AT185" s="62" t="str">
        <f aca="false">IF(Tasks[[#This Row],[Task Name]]="","",IF(Tasks[[#This Row],[_IsSummary]],MIN(INDEX(Tasks[_LeafLateStart],Tasks[[#This Row],[_Row]]+1):INDEX(Tasks[_LeafLateStart],Tasks[[#This Row],[_Row]]+Tasks[[#This Row],[_Descendants]])),Tasks[[#This Row],[_LeafLateStart]]))</f>
        <v/>
      </c>
      <c r="AU185" s="62" t="str">
        <f aca="false">IF(Tasks[[#This Row],[Task Name]]="","",IF(Tasks[[#This Row],[_IsSummary]],MAX(INDEX(Tasks[_LeafLateFinish],Tasks[[#This Row],[_Row]]+1):INDEX(Tasks[_LeafLateFinish],Tasks[[#This Row],[_Row]]+Tasks[[#This Row],[_Descendants]])),Tasks[[#This Row],[_LeafLateFinish]]))</f>
        <v/>
      </c>
      <c r="AV185" s="46"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4"/>
      <c r="BA1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5"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6"/>
      <c r="BJ185" s="22"/>
      <c r="BK185" s="46" t="str">
        <f aca="false">IF(OR(Tasks[[#This Row],[Task Name]]="",Tasks[[#This Row],[Baseline Duration]]=""),"",Tasks[[#This Row],[_SpanDays]]-N(Tasks[[#This Row],[Baseline Duration]]))</f>
        <v/>
      </c>
      <c r="BL185" s="85" t="str">
        <f aca="false">IF(OR(Tasks[[#This Row],[Task Name]]="",Tasks[[#This Row],[Baseline Work]]=""),"",Tasks[[#This Row],[Work]]-N(Tasks[[#This Row],[Baseline Work]]))</f>
        <v/>
      </c>
      <c r="BM185" s="62" t="str">
        <f aca="false">IF(Tasks[[#This Row],[Task Name]]="","",IF(OR(TakeBaseline="Yes",N(Tasks[[#This Row],[Baseline Start]])=0),Tasks[[#This Row],[Start]],Tasks[[#This Row],[Baseline Start]]))</f>
        <v/>
      </c>
      <c r="BN185" s="62"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5" t="str">
        <f aca="false">IF(Tasks[[#This Row],[Task Name]]="","",IF(OR(TakeBaseline="Yes",N(Tasks[[#This Row],[Baseline Work]])=0),Tasks[[#This Row],[Work]],Tasks[[#This Row],[Baseline Work]]))</f>
        <v/>
      </c>
      <c r="BQ185" s="7"/>
      <c r="BR185" s="7"/>
      <c r="BS185" s="22"/>
      <c r="BT185" s="87"/>
      <c r="BU185" s="42" t="str">
        <f aca="false">IF(Tasks[[#This Row],[Task Name]]="","",MAX(1,N(Tasks[[#This Row],[Level]])))</f>
        <v/>
      </c>
      <c r="BV185" s="42" t="n">
        <f aca="false">ROW()-ROW(Tasks[[#Headers],[ID]])</f>
        <v>180</v>
      </c>
      <c r="BW185" s="42" t="n">
        <f aca="false">IF(OR(Tasks[[#This Row],[Task Name]]="",Tasks[[#This Row],[_Level]]&lt;=1),0,IFERROR(LOOKUP(2,1/(Tasks[[#Headers],[_Level]]:Tasks[[#This Row],[_Level]]=Tasks[[#This Row],[_Level]]-1),ROW(Tasks[[#Headers],[_Level]]:Tasks[[#This Row],[_Level]])),0))</f>
        <v>0</v>
      </c>
      <c r="BX185" s="42" t="n">
        <f aca="false">IFERROR(N(INDEX(Tasks[_Level],Tasks[[#This Row],[_Row]]+1)),0)</f>
        <v>0</v>
      </c>
      <c r="BY185" s="88" t="b">
        <f aca="false">AND(Tasks[[#This Row],[Task Name]]&lt;&gt;"",Tasks[[#This Row],[_NextLevel]]&gt;Tasks[[#This Row],[_Level]])</f>
        <v>0</v>
      </c>
      <c r="BZ185" s="42" t="n">
        <f aca="false">IF(Tasks[[#This Row],[_IsSummary]],COUNTIF(Tasks[WBS],Tasks[[#This Row],[WBS]]&amp;".*"),0)</f>
        <v>0</v>
      </c>
      <c r="CA185" s="42" t="n">
        <f aca="false">IF(AND(Tasks[[#This Row],[Task Name]]&lt;&gt;"",NOT(Tasks[[#This Row],[_IsSummary]])),1,0)</f>
        <v>0</v>
      </c>
      <c r="CB185" s="42" t="n">
        <f aca="false">IF(N(Tasks[[#This Row],[_Pred1UID]])=0,0,IFERROR(MATCH(Tasks[[#This Row],[_Pred1UID]],Tasks[UID],0),-1))</f>
        <v>0</v>
      </c>
      <c r="CC185" s="42" t="n">
        <f aca="false">IF(N(Tasks[[#This Row],[_Pred2UID]])=0,0,IFERROR(MATCH(Tasks[[#This Row],[_Pred2UID]],Tasks[UID],0),-1))</f>
        <v>0</v>
      </c>
      <c r="CD185" s="42" t="n">
        <f aca="false">IF(N(Tasks[[#This Row],[_Pred3UID]])=0,0,IFERROR(MATCH(Tasks[[#This Row],[_Pred3UID]],Tasks[UID],0),-1))</f>
        <v>0</v>
      </c>
      <c r="CE185" s="42" t="n">
        <f aca="false">IF(N(Tasks[[#This Row],[_Pred4UID]])=0,0,IFERROR(MATCH(Tasks[[#This Row],[_Pred4UID]],Tasks[UID],0),-1))</f>
        <v>0</v>
      </c>
      <c r="CF1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5" s="89" t="n">
        <f aca="false">IF(OR(Tasks[[#This Row],[_ConstraintCode]]=2,Tasks[[#This Row],[_ConstraintCode]]=3,Tasks[[#This Row],[_ConstraintCode]]=4,Tasks[[#This Row],[_ConstraintCode]]=6),Tasks[[#This Row],[_ConstraintStart]],0)</f>
        <v>0</v>
      </c>
      <c r="CI185" s="89" t="n">
        <f aca="false">IF(OR(Tasks[[#This Row],[_ConstraintCode]]=2,Tasks[[#This Row],[_ConstraintCode]]=3,Tasks[[#This Row],[_ConstraintCode]]=5,Tasks[[#This Row],[_ConstraintCode]]=7),Tasks[[#This Row],[_ConstraintStart]],2958465)</f>
        <v>2958465</v>
      </c>
      <c r="CJ1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5" s="89" t="str">
        <f aca="false">IF(NOT(Tasks[[#This Row],[_IsLeaf]]=1),"",IF(N(Tasks[[#This Row],[_Days]])&lt;=0,Tasks[[#This Row],[_LeafCalcStart]],WORKDAY.INTL(Tasks[[#This Row],[_LeafCalcStart]],Tasks[[#This Row],[_Days]]-1,WorkWeek,Holidays)))</f>
        <v/>
      </c>
      <c r="CL1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5" s="42" t="str">
        <f aca="false">IF(Tasks[[#This Row],[_Predecessors]]="","",TRIM(MID(SUBSTITUTE(SUBSTITUTE(SUBSTITUTE(UPPER(Tasks[[#This Row],[_Predecessors]]),";",",")," ",""),",",REPT(" ",99)),1,99)))</f>
        <v/>
      </c>
      <c r="CO185" s="42" t="str">
        <f aca="false">IF(Tasks[[#This Row],[_Pred1Text]]="","",IFERROR(VALUE(LEFT(Tasks[[#This Row],[_Pred1Text]],MIN(FIND("F",Tasks[[#This Row],[_Pred1Text]]&amp;"F"),FIND("S",Tasks[[#This Row],[_Pred1Text]]&amp;"S"),FIND("+",Tasks[[#This Row],[_Pred1Text]]&amp;"+"),FIND("-",Tasks[[#This Row],[_Pred1Text]]&amp;"-"))-1)),""))</f>
        <v/>
      </c>
      <c r="CP1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5" s="42" t="str">
        <f aca="false">IF(Tasks[[#This Row],[_Pred1Text]]="","",TRIM(MID(SUBSTITUTE(SUBSTITUTE(SUBSTITUTE(UPPER(Tasks[[#This Row],[_Predecessors]]),";",",")," ",""),",",REPT(" ",99)),100,99)))</f>
        <v/>
      </c>
      <c r="CS185" s="42" t="str">
        <f aca="false">IF(Tasks[[#This Row],[_Pred2Text]]="","",IFERROR(VALUE(LEFT(Tasks[[#This Row],[_Pred2Text]],MIN(FIND("F",Tasks[[#This Row],[_Pred2Text]]&amp;"F"),FIND("S",Tasks[[#This Row],[_Pred2Text]]&amp;"S"),FIND("+",Tasks[[#This Row],[_Pred2Text]]&amp;"+"),FIND("-",Tasks[[#This Row],[_Pred2Text]]&amp;"-"))-1)),""))</f>
        <v/>
      </c>
      <c r="CT1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5" s="42" t="str">
        <f aca="false">IF(Tasks[[#This Row],[_Pred2Text]]="","",TRIM(MID(SUBSTITUTE(SUBSTITUTE(SUBSTITUTE(UPPER(Tasks[[#This Row],[_Predecessors]]),";",",")," ",""),",",REPT(" ",99)),199,99)))</f>
        <v/>
      </c>
      <c r="CW185" s="42" t="str">
        <f aca="false">IF(Tasks[[#This Row],[_Pred3Text]]="","",IFERROR(VALUE(LEFT(Tasks[[#This Row],[_Pred3Text]],MIN(FIND("F",Tasks[[#This Row],[_Pred3Text]]&amp;"F"),FIND("S",Tasks[[#This Row],[_Pred3Text]]&amp;"S"),FIND("+",Tasks[[#This Row],[_Pred3Text]]&amp;"+"),FIND("-",Tasks[[#This Row],[_Pred3Text]]&amp;"-"))-1)),""))</f>
        <v/>
      </c>
      <c r="CX1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5" s="42" t="str">
        <f aca="false">IF(Tasks[[#This Row],[_Pred3Text]]="","",TRIM(MID(SUBSTITUTE(SUBSTITUTE(SUBSTITUTE(UPPER(Tasks[[#This Row],[_Predecessors]]),";",",")," ",""),",",REPT(" ",99)),298,99)))</f>
        <v/>
      </c>
      <c r="DA185" s="42" t="str">
        <f aca="false">IF(Tasks[[#This Row],[_Pred4Text]]="","",IFERROR(VALUE(LEFT(Tasks[[#This Row],[_Pred4Text]],MIN(FIND("F",Tasks[[#This Row],[_Pred4Text]]&amp;"F"),FIND("S",Tasks[[#This Row],[_Pred4Text]]&amp;"S"),FIND("+",Tasks[[#This Row],[_Pred4Text]]&amp;"+"),FIND("-",Tasks[[#This Row],[_Pred4Text]]&amp;"-"))-1)),""))</f>
        <v/>
      </c>
      <c r="DB1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5" s="42" t="str">
        <f aca="false">IF(OR(Tasks[[#This Row],[Task Name]]="",Tasks[[#This Row],[_Resources]]=""),"",TRIM(MID(SUBSTITUTE(Tasks[[#This Row],[_Resources]],",",REPT(" ",99)),1,99)))</f>
        <v/>
      </c>
      <c r="DE185" s="42" t="str">
        <f aca="false">IF(Tasks[[#This Row],[_Res1Text]]="","",TRIM(MID(SUBSTITUTE(Tasks[[#This Row],[_Resources]],",",REPT(" ",99)),100,99)))</f>
        <v/>
      </c>
      <c r="DF185" s="42" t="str">
        <f aca="false">IF(Tasks[[#This Row],[_Res2Text]]="","",TRIM(MID(SUBSTITUTE(Tasks[[#This Row],[_Resources]],",",REPT(" ",99)),199,99)))</f>
        <v/>
      </c>
      <c r="DG185" s="42" t="str">
        <f aca="false">IF(Tasks[[#This Row],[_Res3Text]]="","",TRIM(MID(SUBSTITUTE(Tasks[[#This Row],[_Resources]],",",REPT(" ",99)),298,99)))</f>
        <v/>
      </c>
      <c r="DH185" s="42" t="n">
        <f aca="false">IF(Tasks[[#This Row],[_Res1Text]]="",0,IFERROR(MATCH(TRIM(LEFT(Tasks[[#This Row],[_Res1Text]],FIND("[",Tasks[[#This Row],[_Res1Text]]&amp;"[")-1)),res_Name,0),IFERROR(MATCH(TRIM(LEFT(Tasks[[#This Row],[_Res1Text]],FIND("[",Tasks[[#This Row],[_Res1Text]]&amp;"[")-1)),res_Initials,0),0)))</f>
        <v>0</v>
      </c>
      <c r="DI185" s="42" t="n">
        <f aca="false">IF(Tasks[[#This Row],[_Res2Text]]="",0,IFERROR(MATCH(TRIM(LEFT(Tasks[[#This Row],[_Res2Text]],FIND("[",Tasks[[#This Row],[_Res2Text]]&amp;"[")-1)),res_Name,0),IFERROR(MATCH(TRIM(LEFT(Tasks[[#This Row],[_Res2Text]],FIND("[",Tasks[[#This Row],[_Res2Text]]&amp;"[")-1)),res_Initials,0),0)))</f>
        <v>0</v>
      </c>
      <c r="DJ185" s="42" t="n">
        <f aca="false">IF(Tasks[[#This Row],[_Res3Text]]="",0,IFERROR(MATCH(TRIM(LEFT(Tasks[[#This Row],[_Res3Text]],FIND("[",Tasks[[#This Row],[_Res3Text]]&amp;"[")-1)),res_Name,0),IFERROR(MATCH(TRIM(LEFT(Tasks[[#This Row],[_Res3Text]],FIND("[",Tasks[[#This Row],[_Res3Text]]&amp;"[")-1)),res_Initials,0),0)))</f>
        <v>0</v>
      </c>
      <c r="DK185" s="42" t="n">
        <f aca="false">IF(Tasks[[#This Row],[_Res4Text]]="",0,IFERROR(MATCH(TRIM(LEFT(Tasks[[#This Row],[_Res4Text]],FIND("[",Tasks[[#This Row],[_Res4Text]]&amp;"[")-1)),res_Name,0),IFERROR(MATCH(TRIM(LEFT(Tasks[[#This Row],[_Res4Text]],FIND("[",Tasks[[#This Row],[_Res4Text]]&amp;"[")-1)),res_Initials,0),0)))</f>
        <v>0</v>
      </c>
      <c r="DL185" s="42" t="str">
        <f aca="false">IF(Tasks[[#This Row],[_Res1Text]]="","",IF(Tasks[[#This Row],[_Res1Row]]&gt;0,INDEX(res_Name,Tasks[[#This Row],[_Res1Row]]),TRIM(LEFT(Tasks[[#This Row],[_Res1Text]],FIND("[",Tasks[[#This Row],[_Res1Text]]&amp;"[")-1))))</f>
        <v/>
      </c>
      <c r="DM1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5" s="42" t="n">
        <f aca="false">IF(NOT(Tasks[[#This Row],[_IsLeaf]]=1),0,(Tasks[[#This Row],[_Resource1]]&lt;&gt;"")+(Tasks[[#This Row],[_Res2]]&lt;&gt;"")+(Tasks[[#This Row],[_Res3]]&lt;&gt;"")+(Tasks[[#This Row],[_Res4]]&lt;&gt;""))</f>
        <v>0</v>
      </c>
      <c r="DO185" s="42" t="str">
        <f aca="false">IF(Tasks[[#This Row],[_Res2Text]]="","",IF(Tasks[[#This Row],[_Res2Row]]&gt;0,INDEX(res_Name,Tasks[[#This Row],[_Res2Row]]),TRIM(LEFT(Tasks[[#This Row],[_Res2Text]],FIND("[",Tasks[[#This Row],[_Res2Text]]&amp;"[")-1))))</f>
        <v/>
      </c>
      <c r="DP1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5" s="42" t="n">
        <f aca="false">IF(OR(NOT(Tasks[[#This Row],[_IsLeaf]]=1),Tasks[[#This Row],[_Res2Row]]=0),0,N(Tasks[[#This Row],[_Days]])*HoursPerDay*IF(Tasks[[#This Row],[_Res2Units]]="",DefaultUnits,Tasks[[#This Row],[_Res2Units]]))</f>
        <v>0</v>
      </c>
      <c r="DR185" s="42" t="n">
        <f aca="false">IF(AND(AND(Tasks[[#This Row],[_IsLeaf]]=1,Tasks[[#This Row],[_LeafTotalWork]]&gt;0),Tasks[[#This Row],[_Res2Work]]&gt;0),Tasks[[#This Row],[_Res2Work]]/(Tasks[[#This Row],[_FinishWorkday]]-Tasks[[#This Row],[_StartWorkday]]+1),0)</f>
        <v>0</v>
      </c>
      <c r="DS185" s="42" t="n">
        <f aca="false">Tasks[[#This Row],[_Res2WorkPerWD]]*MAX(0,Tasks[[#This Row],[_StartWorkday]]-1)</f>
        <v>0</v>
      </c>
      <c r="DT185" s="42" t="n">
        <f aca="false">Tasks[[#This Row],[_Res2Work]]*Tasks[[#This Row],[_LeafProgress]]</f>
        <v>0</v>
      </c>
      <c r="DU185" s="42" t="str">
        <f aca="false">IF(Tasks[[#This Row],[_Res3Text]]="","",IF(Tasks[[#This Row],[_Res3Row]]&gt;0,INDEX(res_Name,Tasks[[#This Row],[_Res3Row]]),TRIM(LEFT(Tasks[[#This Row],[_Res3Text]],FIND("[",Tasks[[#This Row],[_Res3Text]]&amp;"[")-1))))</f>
        <v/>
      </c>
      <c r="DV1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5" s="42" t="n">
        <f aca="false">IF(OR(NOT(Tasks[[#This Row],[_IsLeaf]]=1),Tasks[[#This Row],[_Res3Row]]=0),0,N(Tasks[[#This Row],[_Days]])*HoursPerDay*IF(Tasks[[#This Row],[_Res3Units]]="",DefaultUnits,Tasks[[#This Row],[_Res3Units]]))</f>
        <v>0</v>
      </c>
      <c r="DX185" s="42" t="n">
        <f aca="false">IF(AND(AND(Tasks[[#This Row],[_IsLeaf]]=1,Tasks[[#This Row],[_LeafTotalWork]]&gt;0),Tasks[[#This Row],[_Res3Work]]&gt;0),Tasks[[#This Row],[_Res3Work]]/(Tasks[[#This Row],[_FinishWorkday]]-Tasks[[#This Row],[_StartWorkday]]+1),0)</f>
        <v>0</v>
      </c>
      <c r="DY185" s="42" t="n">
        <f aca="false">Tasks[[#This Row],[_Res3WorkPerWD]]*MAX(0,Tasks[[#This Row],[_StartWorkday]]-1)</f>
        <v>0</v>
      </c>
      <c r="DZ185" s="42" t="n">
        <f aca="false">Tasks[[#This Row],[_Res3Work]]*Tasks[[#This Row],[_LeafProgress]]</f>
        <v>0</v>
      </c>
      <c r="EA185" s="42" t="str">
        <f aca="false">IF(Tasks[[#This Row],[_Res4Text]]="","",IF(Tasks[[#This Row],[_Res4Row]]&gt;0,INDEX(res_Name,Tasks[[#This Row],[_Res4Row]]),TRIM(LEFT(Tasks[[#This Row],[_Res4Text]],FIND("[",Tasks[[#This Row],[_Res4Text]]&amp;"[")-1))))</f>
        <v/>
      </c>
      <c r="EB1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5" s="42" t="n">
        <f aca="false">IF(OR(NOT(Tasks[[#This Row],[_IsLeaf]]=1),Tasks[[#This Row],[_Res4Row]]=0),0,N(Tasks[[#This Row],[_Days]])*HoursPerDay*IF(Tasks[[#This Row],[_Res4Units]]="",DefaultUnits,Tasks[[#This Row],[_Res4Units]]))</f>
        <v>0</v>
      </c>
      <c r="ED185" s="42" t="n">
        <f aca="false">IF(AND(AND(Tasks[[#This Row],[_IsLeaf]]=1,Tasks[[#This Row],[_LeafTotalWork]]&gt;0),Tasks[[#This Row],[_Res4Work]]&gt;0),Tasks[[#This Row],[_Res4Work]]/(Tasks[[#This Row],[_FinishWorkday]]-Tasks[[#This Row],[_StartWorkday]]+1),0)</f>
        <v>0</v>
      </c>
      <c r="EE185" s="42" t="n">
        <f aca="false">Tasks[[#This Row],[_Res4WorkPerWD]]*MAX(0,Tasks[[#This Row],[_StartWorkday]]-1)</f>
        <v>0</v>
      </c>
      <c r="EF185" s="42" t="n">
        <f aca="false">Tasks[[#This Row],[_Res4Work]]*Tasks[[#This Row],[_LeafProgress]]</f>
        <v>0</v>
      </c>
      <c r="EG185" s="42" t="n">
        <f aca="false">IF(ISNUMBER(Tasks[[#This Row],[% Complete]]),Tasks[[#This Row],[% Complete]],IF(Tasks[[#This Row],[Stage]]="",0,IFERROR(INDEX(stg_Pct,MATCH(Tasks[[#This Row],[Stage]],stg_Name,0)),0)))</f>
        <v>0</v>
      </c>
      <c r="EH185" s="42" t="n">
        <f aca="false">IF(NOT(Tasks[[#This Row],[_IsLeaf]]=1),0,IF(N(Tasks[[#This Row],[Actual Finish]])&gt;0,1,MIN(1,Tasks[[#This Row],[_Pct]])))</f>
        <v>0</v>
      </c>
      <c r="EI185" s="42" t="n">
        <f aca="false">IF(OR(NOT(Tasks[[#This Row],[_IsLeaf]]=1),Tasks[[#This Row],[_Res1Row]]=0),0,N(Tasks[[#This Row],[_Days]])*HoursPerDay*IF(Tasks[[#This Row],[_Units1]]="",DefaultUnits,Tasks[[#This Row],[_Units1]]))</f>
        <v>0</v>
      </c>
      <c r="EJ185" s="42" t="n">
        <f aca="false">Tasks[[#This Row],[_LeafWork]]+Tasks[[#This Row],[_Res2Work]]+Tasks[[#This Row],[_Res3Work]]+Tasks[[#This Row],[_Res4Work]]</f>
        <v>0</v>
      </c>
      <c r="EK1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5" s="42" t="n">
        <f aca="false">IF(NOT(Tasks[[#This Row],[_IsLeaf]]=1),0,MAX(_xlfn.MAXIFS(Tasks[_Row],Tasks[_Pred1UID],Tasks[[#This Row],[UID]]),_xlfn.MAXIFS(Tasks[_Row],Tasks[_Pred2UID],Tasks[[#This Row],[UID]]),_xlfn.MAXIFS(Tasks[_Row],Tasks[_Pred3UID],Tasks[[#This Row],[UID]]),_xlfn.MAXIFS(Tasks[_Row],Tasks[_Pred4UID],Tasks[[#This Row],[UID]])))</f>
        <v>0</v>
      </c>
      <c r="ET1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5" s="89" t="str">
        <f aca="false">IF(NOT(Tasks[[#This Row],[_IsLeaf]]=1),"",IF(N(Tasks[[#This Row],[_Days]])&lt;=0,Tasks[[#This Row],[_LeafLateFinish]],WORKDAY.INTL(Tasks[[#This Row],[_LeafLateFinish]],-(Tasks[[#This Row],[_Days]]-1),WorkWeek,Holidays)))</f>
        <v/>
      </c>
      <c r="EW1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5" s="88" t="b">
        <f aca="false">AND(Tasks[[#This Row],[_IsLeaf]]=1,Tasks[[#This Row],[_LeafProgress]]&lt;1,N(Tasks[[#This Row],[_LeafTotalSlack]])&lt;=CriticalSlackDays)</f>
        <v>0</v>
      </c>
      <c r="EY185" s="42" t="n">
        <f aca="false">IF(AND(Tasks[[#This Row],[_IsLeaf]]=1,Tasks[[#This Row],[_ConstraintCode]]=1,Tasks[[#This Row],[Mode]]&lt;&gt;"Manual",N(Tasks[[#This Row],[Actual Start]])=0),MAX(0,N(Tasks[[#This Row],[Free Slack]])),0)</f>
        <v>0</v>
      </c>
      <c r="EZ185" s="89" t="str">
        <f aca="false">IF(NOT(Tasks[[#This Row],[_IsLeaf]]=1),"",IF(Tasks[[#This Row],[_AlapShift]]=0,Tasks[[#This Row],[_LeafCalcStart]],WORKDAY.INTL(Tasks[[#This Row],[_LeafCalcStart]],Tasks[[#This Row],[_AlapShift]],WorkWeek,Holidays)))</f>
        <v/>
      </c>
      <c r="FA185" s="89" t="str">
        <f aca="false">IF(NOT(Tasks[[#This Row],[_IsLeaf]]=1),"",IF(Tasks[[#This Row],[_AlapShift]]=0,Tasks[[#This Row],[_LeafCalcFinish]],WORKDAY.INTL(Tasks[[#This Row],[_LeafCalcFinish]],Tasks[[#This Row],[_AlapShift]],WorkWeek,Holidays)))</f>
        <v/>
      </c>
      <c r="FB185" s="89" t="str">
        <f aca="false">IF(NOT(Tasks[[#This Row],[_IsLeaf]]=1),"",IF(Tasks[[#This Row],[_AlapShift]]=0,Tasks[[#This Row],[_LeafFcstStart]],WORKDAY.INTL(Tasks[[#This Row],[_LeafFcstStart]],Tasks[[#This Row],[_AlapShift]],WorkWeek,Holidays)))</f>
        <v/>
      </c>
      <c r="FC185" s="89" t="str">
        <f aca="false">IF(NOT(Tasks[[#This Row],[_IsLeaf]]=1),"",IF(Tasks[[#This Row],[_AlapShift]]=0,Tasks[[#This Row],[_LeafFcstFinish]],WORKDAY.INTL(Tasks[[#This Row],[_LeafFcstFinish]],Tasks[[#This Row],[_AlapShift]],WorkWeek,Holidays)))</f>
        <v/>
      </c>
      <c r="FD185" s="89" t="str">
        <f aca="false">IF(Tasks[[#This Row],[Task Name]]="","",IF(Tasks[[#This Row],[_IsSummary]],MIN(INDEX(Tasks[_ShownCalcStart],Tasks[[#This Row],[_Row]]+1):INDEX(Tasks[_ShownCalcStart],Tasks[[#This Row],[_Row]]+Tasks[[#This Row],[_Descendants]])),Tasks[[#This Row],[_ShownCalcStart]]))</f>
        <v/>
      </c>
      <c r="FE185" s="89" t="str">
        <f aca="false">IF(Tasks[[#This Row],[Task Name]]="","",IF(Tasks[[#This Row],[_IsSummary]],MAX(INDEX(Tasks[_ShownCalcFinish],Tasks[[#This Row],[_Row]]+1):INDEX(Tasks[_ShownCalcFinish],Tasks[[#This Row],[_Row]]+Tasks[[#This Row],[_Descendants]])),Tasks[[#This Row],[_ShownCalcFinish]]))</f>
        <v/>
      </c>
      <c r="FF1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5" s="42" t="n">
        <f aca="false">IF(AND(Tasks[[#This Row],[_IsLeaf]]=1,Tasks[[#This Row],[_LeafTotalWork]]&gt;0),NETWORKDAYS.INTL(ProjectStart,Tasks[[#This Row],[_ShownFcstStart]],WorkWeek,Holidays),0)</f>
        <v>0</v>
      </c>
      <c r="FS185" s="42" t="n">
        <f aca="false">IF(AND(Tasks[[#This Row],[_IsLeaf]]=1,Tasks[[#This Row],[_LeafTotalWork]]&gt;0),MAX(Tasks[[#This Row],[_StartWorkday]],NETWORKDAYS.INTL(ProjectStart,Tasks[[#This Row],[_ShownFcstFinish]],WorkWeek,Holidays)),0)</f>
        <v>0</v>
      </c>
      <c r="FT185" s="42" t="n">
        <f aca="false">IF(AND(Tasks[[#This Row],[_IsLeaf]]=1,Tasks[[#This Row],[_LeafTotalWork]]&gt;0),Tasks[[#This Row],[_LeafWork]]/(Tasks[[#This Row],[_FinishWorkday]]-Tasks[[#This Row],[_StartWorkday]]+1),0)</f>
        <v>0</v>
      </c>
      <c r="FU185" s="42" t="n">
        <f aca="false">Tasks[[#This Row],[_WorkPerWorkday]]*(Tasks[[#This Row],[_StartWorkday]]-1)</f>
        <v>-0</v>
      </c>
      <c r="FV185" s="42" t="n">
        <f aca="false">IF(Tasks[[#This Row],[_IsLeaf]]=1,MAX(N(Tasks[[#This Row],[_Days]]),0.1),0)</f>
        <v>0</v>
      </c>
      <c r="FW185" s="42" t="n">
        <f aca="false">Tasks[[#This Row],[_WeightDur]]*Tasks[[#This Row],[_LeafProgress]]</f>
        <v>0</v>
      </c>
      <c r="FX185" s="42" t="n">
        <f aca="false">Tasks[[#This Row],[_WeightDur]]*Tasks[[#This Row],[_PlannedPct]]</f>
        <v>0</v>
      </c>
      <c r="FY1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5" s="42" t="str">
        <f aca="false">IF(AND(Tasks[[#This Row],[_IsLeaf]]=1,N(Tasks[[#This Row],[_Days]])=0,Tasks[[#This Row],[_LeafProgress]]&lt;1),Tasks[[#This Row],[_ShownFcstFinish]]+Tasks[[#This Row],[_Row]]/100000,"")</f>
        <v/>
      </c>
      <c r="GA1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5" s="42" t="str">
        <f aca="false">IF(Tasks[[#This Row],[Task Name]]="","",LEFT(Tasks[[#This Row],[WBS]],FIND(".",Tasks[[#This Row],[WBS]]&amp;".")-1))</f>
        <v/>
      </c>
      <c r="GC185" s="42" t="str">
        <f aca="false">IF(AND(Tasks[[#This Row],[Task Name]]&lt;&gt;"",Tasks[[#This Row],[_Level]]=1),Tasks[[#This Row],[_Row]],"")</f>
        <v/>
      </c>
      <c r="GD185" s="42" t="str">
        <f aca="false">IF(AND(Tasks[[#This Row],[_IsLeaf]]=1,N(Tasks[[#This Row],[_Days]])=0),Tasks[[#This Row],[Planned Finish]]+Tasks[[#This Row],[_Row]]/100000,"")</f>
        <v/>
      </c>
      <c r="GE185" s="42" t="str">
        <f aca="false">IF(AND(Tasks[[#This Row],[_IsLeaf]]=1,Tasks[[#This Row],[_LeafProgress]]&lt;1,OR(N(Tasks[[#This Row],[Finish Var]])&gt;0,Tasks[[#This Row],[Status]]="Late Start")),MAX(0,Tasks[[#This Row],[Finish Var]])+1-Tasks[[#This Row],[_Row]]/1000000,"")</f>
        <v/>
      </c>
      <c r="GF185" s="42" t="str">
        <f aca="false">IF(AND(Tasks[[#This Row],[_IsLeaf]]=1,N(Tasks[[#This Row],[Actual Start]])=0,Tasks[[#This Row],[_ShownFcstStart]]&gt;=StatusDate,Tasks[[#This Row],[_ShownFcstStart]]&lt;=LookaheadEnd),Tasks[[#This Row],[_ShownFcstStart]]+Tasks[[#This Row],[_Row]]/100000,"")</f>
        <v/>
      </c>
      <c r="GG185" s="42" t="str">
        <f aca="false">IF(AND(Tasks[[#This Row],[_IsLeaf]]=1,Tasks[[#This Row],[_LeafProgress]]&lt;1,Tasks[[#This Row],[_ShownFcstFinish]]&gt;=StatusDate,Tasks[[#This Row],[_ShownFcstFinish]]&lt;=LookaheadEnd),Tasks[[#This Row],[_ShownFcstFinish]]+Tasks[[#This Row],[_Row]]/100000,"")</f>
        <v/>
      </c>
      <c r="GH185" s="42" t="str">
        <f aca="false">IF(Tasks[[#This Row],[_LeafCritical]],Tasks[[#This Row],[_ShownFcstStart]]+Tasks[[#This Row],[_Row]]/100000,"")</f>
        <v/>
      </c>
      <c r="GI185" s="42" t="n">
        <f aca="false">Tasks[[#This Row],[_LeafWork]]*Tasks[[#This Row],[_LeafProgress]]</f>
        <v>0</v>
      </c>
      <c r="GJ185" s="89" t="str">
        <f aca="false">IF(AND(Tasks[[#This Row],[_IsLeaf]]=1,Tasks[[#This Row],[_LeafProgress]]&gt;=1),IF(N(Tasks[[#This Row],[Actual Finish]])&gt;0,Tasks[[#This Row],[Actual Finish]],Tasks[[#This Row],[_ShownFcstFinish]]),"")</f>
        <v/>
      </c>
      <c r="GK185" s="42" t="n">
        <f aca="false">IF(Tasks[[#This Row],[_IsLeaf]]=1,N(Tasks[[#This Row],[Story Points]]),0)</f>
        <v>0</v>
      </c>
      <c r="GL185" s="42" t="str">
        <f aca="false">""</f>
        <v/>
      </c>
      <c r="GM185" s="88" t="b">
        <f aca="false">IF(Tasks[[#This Row],[Task Name]]="",FALSE(),AND(Tasks[[#This Row],[_IsLeaf]]=1,N(Tasks[[#This Row],[_Days]])=0))</f>
        <v>0</v>
      </c>
      <c r="GN185" s="89" t="n">
        <f aca="false">IF(Tasks[[#This Row],[Task Name]]="",0,IF(AND(Tasks[[#This Row],[_IsLeaf]]=1,NOT(Tasks[[#This Row],[_IsMilestone]]),N(Tasks[[#This Row],[Progress]])&gt;0),Tasks[[#This Row],[Start]],0))</f>
        <v>0</v>
      </c>
      <c r="GO185" s="89" t="n">
        <f aca="false">IF(Tasks[[#This Row],[_DoneFrom]]=0,0,IF(Tasks[[#This Row],[Progress]]&gt;=1,Tasks[[#This Row],[Finish]],MAX(Tasks[[#This Row],[_DoneFrom]],Tasks[[#This Row],[Start]]+ROUND((Tasks[[#This Row],[Finish]]-Tasks[[#This Row],[Start]]+1)*Tasks[[#This Row],[Progress]],0)-1)))</f>
        <v>0</v>
      </c>
      <c r="GP185" s="89" t="n">
        <f aca="false">IF(Tasks[[#This Row],[Task Name]]="",0,IF(OR(NOT(Tasks[[#This Row],[_IsLeaf]]=1),Tasks[[#This Row],[_IsMilestone]],N(Tasks[[#This Row],[Progress]])&gt;=1),0,IF(Tasks[[#This Row],[_DoneTo]]&gt;0,Tasks[[#This Row],[_DoneTo]]+1,Tasks[[#This Row],[Start]])))</f>
        <v>0</v>
      </c>
      <c r="GQ185" s="89" t="n">
        <f aca="false">IF(Tasks[[#This Row],[_RemFrom]]=0,0,Tasks[[#This Row],[Finish]])</f>
        <v>0</v>
      </c>
      <c r="GR185" s="88" t="b">
        <f aca="false">IF(Tasks[[#This Row],[Task Name]]="",FALSE(),OR(NOT(BaselineSet),N(Tasks[[#This Row],[Baseline Start]])&gt;0))</f>
        <v>0</v>
      </c>
      <c r="GS1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5" s="90" t="str">
        <f aca="false">IF(Tasks[[#This Row],[_IsLeaf]]=1,Tasks[[#This Row],[_Row]],"")</f>
        <v/>
      </c>
      <c r="GW185" s="90" t="str">
        <f aca="false">IFERROR(INDEX(Tasks[UID],SMALL(Tasks[_PickKey],Tasks[[#This Row],[_Row]]))&amp;" "&amp;INDEX(Tasks[Task Name],SMALL(Tasks[_PickKey],Tasks[[#This Row],[_Row]])),"")</f>
        <v/>
      </c>
      <c r="GX185" s="42" t="str">
        <f aca="false">IF(Tasks[[#This Row],[Task Name]]="","",IF(Tasks[[#This Row],[_IsSummary]],NETWORKDAYS.INTL(Tasks[[#This Row],[Start]],Tasks[[#This Row],[Finish]],WorkWeek,Holidays),N(Tasks[[#This Row],[_Days]])))</f>
        <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3"/>
      <c r="U186" s="23"/>
      <c r="V186" s="83"/>
      <c r="W186" s="23"/>
      <c r="X186" s="83"/>
      <c r="Y186" s="23"/>
      <c r="Z186" s="83"/>
      <c r="AA186" s="23"/>
      <c r="AB186" s="23"/>
      <c r="AC186" s="7"/>
      <c r="AD186" s="7"/>
      <c r="AE186" s="62" t="str">
        <f aca="false">IF(Tasks[[#This Row],[Task Name]]="","",IF(Tasks[[#This Row],[_IsSummary]],MIN(INDEX(Tasks[_ShownFcstStart],Tasks[[#This Row],[_Row]]+1):INDEX(Tasks[_ShownFcstStart],Tasks[[#This Row],[_Row]]+Tasks[[#This Row],[_Descendants]])),Tasks[[#This Row],[_ShownFcstStart]]))</f>
        <v/>
      </c>
      <c r="AF186" s="62"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6" s="7"/>
      <c r="AK186" s="22"/>
      <c r="AL186" s="23"/>
      <c r="AM186" s="7"/>
      <c r="AN186" s="46"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2" t="str">
        <f aca="false">IF(Tasks[[#This Row],[Task Name]]="","",IF(N(Tasks[[#This Row],[Baseline Start]])&gt;0,Tasks[[#This Row],[Baseline Start]],Tasks[[#This Row],[_CalcStart]]))</f>
        <v/>
      </c>
      <c r="AR186" s="62" t="str">
        <f aca="false">IF(Tasks[[#This Row],[Task Name]]="","",IF(N(Tasks[[#This Row],[Baseline Finish]])&gt;0,Tasks[[#This Row],[Baseline Finish]],Tasks[[#This Row],[_CalcFinish]]))</f>
        <v/>
      </c>
      <c r="AS186" s="46" t="str">
        <f aca="false">IF(Tasks[[#This Row],[Task Name]]="","",IF(Tasks[[#This Row],[Start]]&gt;=Tasks[[#This Row],[Planned Start]],NETWORKDAYS.INTL(Tasks[[#This Row],[Planned Start]],Tasks[[#This Row],[Start]],WorkWeek,Holidays)-1,1-NETWORKDAYS.INTL(Tasks[[#This Row],[Start]],Tasks[[#This Row],[Planned Start]],WorkWeek,Holidays)))</f>
        <v/>
      </c>
      <c r="AT186" s="62" t="str">
        <f aca="false">IF(Tasks[[#This Row],[Task Name]]="","",IF(Tasks[[#This Row],[_IsSummary]],MIN(INDEX(Tasks[_LeafLateStart],Tasks[[#This Row],[_Row]]+1):INDEX(Tasks[_LeafLateStart],Tasks[[#This Row],[_Row]]+Tasks[[#This Row],[_Descendants]])),Tasks[[#This Row],[_LeafLateStart]]))</f>
        <v/>
      </c>
      <c r="AU186" s="62" t="str">
        <f aca="false">IF(Tasks[[#This Row],[Task Name]]="","",IF(Tasks[[#This Row],[_IsSummary]],MAX(INDEX(Tasks[_LeafLateFinish],Tasks[[#This Row],[_Row]]+1):INDEX(Tasks[_LeafLateFinish],Tasks[[#This Row],[_Row]]+Tasks[[#This Row],[_Descendants]])),Tasks[[#This Row],[_LeafLateFinish]]))</f>
        <v/>
      </c>
      <c r="AV186" s="46"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4"/>
      <c r="BA1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5"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6"/>
      <c r="BJ186" s="22"/>
      <c r="BK186" s="46" t="str">
        <f aca="false">IF(OR(Tasks[[#This Row],[Task Name]]="",Tasks[[#This Row],[Baseline Duration]]=""),"",Tasks[[#This Row],[_SpanDays]]-N(Tasks[[#This Row],[Baseline Duration]]))</f>
        <v/>
      </c>
      <c r="BL186" s="85" t="str">
        <f aca="false">IF(OR(Tasks[[#This Row],[Task Name]]="",Tasks[[#This Row],[Baseline Work]]=""),"",Tasks[[#This Row],[Work]]-N(Tasks[[#This Row],[Baseline Work]]))</f>
        <v/>
      </c>
      <c r="BM186" s="62" t="str">
        <f aca="false">IF(Tasks[[#This Row],[Task Name]]="","",IF(OR(TakeBaseline="Yes",N(Tasks[[#This Row],[Baseline Start]])=0),Tasks[[#This Row],[Start]],Tasks[[#This Row],[Baseline Start]]))</f>
        <v/>
      </c>
      <c r="BN186" s="62"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5" t="str">
        <f aca="false">IF(Tasks[[#This Row],[Task Name]]="","",IF(OR(TakeBaseline="Yes",N(Tasks[[#This Row],[Baseline Work]])=0),Tasks[[#This Row],[Work]],Tasks[[#This Row],[Baseline Work]]))</f>
        <v/>
      </c>
      <c r="BQ186" s="7"/>
      <c r="BR186" s="7"/>
      <c r="BS186" s="22"/>
      <c r="BT186" s="87"/>
      <c r="BU186" s="42" t="str">
        <f aca="false">IF(Tasks[[#This Row],[Task Name]]="","",MAX(1,N(Tasks[[#This Row],[Level]])))</f>
        <v/>
      </c>
      <c r="BV186" s="42" t="n">
        <f aca="false">ROW()-ROW(Tasks[[#Headers],[ID]])</f>
        <v>181</v>
      </c>
      <c r="BW186" s="42" t="n">
        <f aca="false">IF(OR(Tasks[[#This Row],[Task Name]]="",Tasks[[#This Row],[_Level]]&lt;=1),0,IFERROR(LOOKUP(2,1/(Tasks[[#Headers],[_Level]]:Tasks[[#This Row],[_Level]]=Tasks[[#This Row],[_Level]]-1),ROW(Tasks[[#Headers],[_Level]]:Tasks[[#This Row],[_Level]])),0))</f>
        <v>0</v>
      </c>
      <c r="BX186" s="42" t="n">
        <f aca="false">IFERROR(N(INDEX(Tasks[_Level],Tasks[[#This Row],[_Row]]+1)),0)</f>
        <v>0</v>
      </c>
      <c r="BY186" s="88" t="b">
        <f aca="false">AND(Tasks[[#This Row],[Task Name]]&lt;&gt;"",Tasks[[#This Row],[_NextLevel]]&gt;Tasks[[#This Row],[_Level]])</f>
        <v>0</v>
      </c>
      <c r="BZ186" s="42" t="n">
        <f aca="false">IF(Tasks[[#This Row],[_IsSummary]],COUNTIF(Tasks[WBS],Tasks[[#This Row],[WBS]]&amp;".*"),0)</f>
        <v>0</v>
      </c>
      <c r="CA186" s="42" t="n">
        <f aca="false">IF(AND(Tasks[[#This Row],[Task Name]]&lt;&gt;"",NOT(Tasks[[#This Row],[_IsSummary]])),1,0)</f>
        <v>0</v>
      </c>
      <c r="CB186" s="42" t="n">
        <f aca="false">IF(N(Tasks[[#This Row],[_Pred1UID]])=0,0,IFERROR(MATCH(Tasks[[#This Row],[_Pred1UID]],Tasks[UID],0),-1))</f>
        <v>0</v>
      </c>
      <c r="CC186" s="42" t="n">
        <f aca="false">IF(N(Tasks[[#This Row],[_Pred2UID]])=0,0,IFERROR(MATCH(Tasks[[#This Row],[_Pred2UID]],Tasks[UID],0),-1))</f>
        <v>0</v>
      </c>
      <c r="CD186" s="42" t="n">
        <f aca="false">IF(N(Tasks[[#This Row],[_Pred3UID]])=0,0,IFERROR(MATCH(Tasks[[#This Row],[_Pred3UID]],Tasks[UID],0),-1))</f>
        <v>0</v>
      </c>
      <c r="CE186" s="42" t="n">
        <f aca="false">IF(N(Tasks[[#This Row],[_Pred4UID]])=0,0,IFERROR(MATCH(Tasks[[#This Row],[_Pred4UID]],Tasks[UID],0),-1))</f>
        <v>0</v>
      </c>
      <c r="CF1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6" s="89" t="n">
        <f aca="false">IF(OR(Tasks[[#This Row],[_ConstraintCode]]=2,Tasks[[#This Row],[_ConstraintCode]]=3,Tasks[[#This Row],[_ConstraintCode]]=4,Tasks[[#This Row],[_ConstraintCode]]=6),Tasks[[#This Row],[_ConstraintStart]],0)</f>
        <v>0</v>
      </c>
      <c r="CI186" s="89" t="n">
        <f aca="false">IF(OR(Tasks[[#This Row],[_ConstraintCode]]=2,Tasks[[#This Row],[_ConstraintCode]]=3,Tasks[[#This Row],[_ConstraintCode]]=5,Tasks[[#This Row],[_ConstraintCode]]=7),Tasks[[#This Row],[_ConstraintStart]],2958465)</f>
        <v>2958465</v>
      </c>
      <c r="CJ1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6" s="89" t="str">
        <f aca="false">IF(NOT(Tasks[[#This Row],[_IsLeaf]]=1),"",IF(N(Tasks[[#This Row],[_Days]])&lt;=0,Tasks[[#This Row],[_LeafCalcStart]],WORKDAY.INTL(Tasks[[#This Row],[_LeafCalcStart]],Tasks[[#This Row],[_Days]]-1,WorkWeek,Holidays)))</f>
        <v/>
      </c>
      <c r="CL1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6" s="42" t="str">
        <f aca="false">IF(Tasks[[#This Row],[_Predecessors]]="","",TRIM(MID(SUBSTITUTE(SUBSTITUTE(SUBSTITUTE(UPPER(Tasks[[#This Row],[_Predecessors]]),";",",")," ",""),",",REPT(" ",99)),1,99)))</f>
        <v/>
      </c>
      <c r="CO186" s="42" t="str">
        <f aca="false">IF(Tasks[[#This Row],[_Pred1Text]]="","",IFERROR(VALUE(LEFT(Tasks[[#This Row],[_Pred1Text]],MIN(FIND("F",Tasks[[#This Row],[_Pred1Text]]&amp;"F"),FIND("S",Tasks[[#This Row],[_Pred1Text]]&amp;"S"),FIND("+",Tasks[[#This Row],[_Pred1Text]]&amp;"+"),FIND("-",Tasks[[#This Row],[_Pred1Text]]&amp;"-"))-1)),""))</f>
        <v/>
      </c>
      <c r="CP1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6" s="42" t="str">
        <f aca="false">IF(Tasks[[#This Row],[_Pred1Text]]="","",TRIM(MID(SUBSTITUTE(SUBSTITUTE(SUBSTITUTE(UPPER(Tasks[[#This Row],[_Predecessors]]),";",",")," ",""),",",REPT(" ",99)),100,99)))</f>
        <v/>
      </c>
      <c r="CS186" s="42" t="str">
        <f aca="false">IF(Tasks[[#This Row],[_Pred2Text]]="","",IFERROR(VALUE(LEFT(Tasks[[#This Row],[_Pred2Text]],MIN(FIND("F",Tasks[[#This Row],[_Pred2Text]]&amp;"F"),FIND("S",Tasks[[#This Row],[_Pred2Text]]&amp;"S"),FIND("+",Tasks[[#This Row],[_Pred2Text]]&amp;"+"),FIND("-",Tasks[[#This Row],[_Pred2Text]]&amp;"-"))-1)),""))</f>
        <v/>
      </c>
      <c r="CT1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6" s="42" t="str">
        <f aca="false">IF(Tasks[[#This Row],[_Pred2Text]]="","",TRIM(MID(SUBSTITUTE(SUBSTITUTE(SUBSTITUTE(UPPER(Tasks[[#This Row],[_Predecessors]]),";",",")," ",""),",",REPT(" ",99)),199,99)))</f>
        <v/>
      </c>
      <c r="CW186" s="42" t="str">
        <f aca="false">IF(Tasks[[#This Row],[_Pred3Text]]="","",IFERROR(VALUE(LEFT(Tasks[[#This Row],[_Pred3Text]],MIN(FIND("F",Tasks[[#This Row],[_Pred3Text]]&amp;"F"),FIND("S",Tasks[[#This Row],[_Pred3Text]]&amp;"S"),FIND("+",Tasks[[#This Row],[_Pred3Text]]&amp;"+"),FIND("-",Tasks[[#This Row],[_Pred3Text]]&amp;"-"))-1)),""))</f>
        <v/>
      </c>
      <c r="CX1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6" s="42" t="str">
        <f aca="false">IF(Tasks[[#This Row],[_Pred3Text]]="","",TRIM(MID(SUBSTITUTE(SUBSTITUTE(SUBSTITUTE(UPPER(Tasks[[#This Row],[_Predecessors]]),";",",")," ",""),",",REPT(" ",99)),298,99)))</f>
        <v/>
      </c>
      <c r="DA186" s="42" t="str">
        <f aca="false">IF(Tasks[[#This Row],[_Pred4Text]]="","",IFERROR(VALUE(LEFT(Tasks[[#This Row],[_Pred4Text]],MIN(FIND("F",Tasks[[#This Row],[_Pred4Text]]&amp;"F"),FIND("S",Tasks[[#This Row],[_Pred4Text]]&amp;"S"),FIND("+",Tasks[[#This Row],[_Pred4Text]]&amp;"+"),FIND("-",Tasks[[#This Row],[_Pred4Text]]&amp;"-"))-1)),""))</f>
        <v/>
      </c>
      <c r="DB1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6" s="42" t="str">
        <f aca="false">IF(OR(Tasks[[#This Row],[Task Name]]="",Tasks[[#This Row],[_Resources]]=""),"",TRIM(MID(SUBSTITUTE(Tasks[[#This Row],[_Resources]],",",REPT(" ",99)),1,99)))</f>
        <v/>
      </c>
      <c r="DE186" s="42" t="str">
        <f aca="false">IF(Tasks[[#This Row],[_Res1Text]]="","",TRIM(MID(SUBSTITUTE(Tasks[[#This Row],[_Resources]],",",REPT(" ",99)),100,99)))</f>
        <v/>
      </c>
      <c r="DF186" s="42" t="str">
        <f aca="false">IF(Tasks[[#This Row],[_Res2Text]]="","",TRIM(MID(SUBSTITUTE(Tasks[[#This Row],[_Resources]],",",REPT(" ",99)),199,99)))</f>
        <v/>
      </c>
      <c r="DG186" s="42" t="str">
        <f aca="false">IF(Tasks[[#This Row],[_Res3Text]]="","",TRIM(MID(SUBSTITUTE(Tasks[[#This Row],[_Resources]],",",REPT(" ",99)),298,99)))</f>
        <v/>
      </c>
      <c r="DH186" s="42" t="n">
        <f aca="false">IF(Tasks[[#This Row],[_Res1Text]]="",0,IFERROR(MATCH(TRIM(LEFT(Tasks[[#This Row],[_Res1Text]],FIND("[",Tasks[[#This Row],[_Res1Text]]&amp;"[")-1)),res_Name,0),IFERROR(MATCH(TRIM(LEFT(Tasks[[#This Row],[_Res1Text]],FIND("[",Tasks[[#This Row],[_Res1Text]]&amp;"[")-1)),res_Initials,0),0)))</f>
        <v>0</v>
      </c>
      <c r="DI186" s="42" t="n">
        <f aca="false">IF(Tasks[[#This Row],[_Res2Text]]="",0,IFERROR(MATCH(TRIM(LEFT(Tasks[[#This Row],[_Res2Text]],FIND("[",Tasks[[#This Row],[_Res2Text]]&amp;"[")-1)),res_Name,0),IFERROR(MATCH(TRIM(LEFT(Tasks[[#This Row],[_Res2Text]],FIND("[",Tasks[[#This Row],[_Res2Text]]&amp;"[")-1)),res_Initials,0),0)))</f>
        <v>0</v>
      </c>
      <c r="DJ186" s="42" t="n">
        <f aca="false">IF(Tasks[[#This Row],[_Res3Text]]="",0,IFERROR(MATCH(TRIM(LEFT(Tasks[[#This Row],[_Res3Text]],FIND("[",Tasks[[#This Row],[_Res3Text]]&amp;"[")-1)),res_Name,0),IFERROR(MATCH(TRIM(LEFT(Tasks[[#This Row],[_Res3Text]],FIND("[",Tasks[[#This Row],[_Res3Text]]&amp;"[")-1)),res_Initials,0),0)))</f>
        <v>0</v>
      </c>
      <c r="DK186" s="42" t="n">
        <f aca="false">IF(Tasks[[#This Row],[_Res4Text]]="",0,IFERROR(MATCH(TRIM(LEFT(Tasks[[#This Row],[_Res4Text]],FIND("[",Tasks[[#This Row],[_Res4Text]]&amp;"[")-1)),res_Name,0),IFERROR(MATCH(TRIM(LEFT(Tasks[[#This Row],[_Res4Text]],FIND("[",Tasks[[#This Row],[_Res4Text]]&amp;"[")-1)),res_Initials,0),0)))</f>
        <v>0</v>
      </c>
      <c r="DL186" s="42" t="str">
        <f aca="false">IF(Tasks[[#This Row],[_Res1Text]]="","",IF(Tasks[[#This Row],[_Res1Row]]&gt;0,INDEX(res_Name,Tasks[[#This Row],[_Res1Row]]),TRIM(LEFT(Tasks[[#This Row],[_Res1Text]],FIND("[",Tasks[[#This Row],[_Res1Text]]&amp;"[")-1))))</f>
        <v/>
      </c>
      <c r="DM1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6" s="42" t="n">
        <f aca="false">IF(NOT(Tasks[[#This Row],[_IsLeaf]]=1),0,(Tasks[[#This Row],[_Resource1]]&lt;&gt;"")+(Tasks[[#This Row],[_Res2]]&lt;&gt;"")+(Tasks[[#This Row],[_Res3]]&lt;&gt;"")+(Tasks[[#This Row],[_Res4]]&lt;&gt;""))</f>
        <v>0</v>
      </c>
      <c r="DO186" s="42" t="str">
        <f aca="false">IF(Tasks[[#This Row],[_Res2Text]]="","",IF(Tasks[[#This Row],[_Res2Row]]&gt;0,INDEX(res_Name,Tasks[[#This Row],[_Res2Row]]),TRIM(LEFT(Tasks[[#This Row],[_Res2Text]],FIND("[",Tasks[[#This Row],[_Res2Text]]&amp;"[")-1))))</f>
        <v/>
      </c>
      <c r="DP1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6" s="42" t="n">
        <f aca="false">IF(OR(NOT(Tasks[[#This Row],[_IsLeaf]]=1),Tasks[[#This Row],[_Res2Row]]=0),0,N(Tasks[[#This Row],[_Days]])*HoursPerDay*IF(Tasks[[#This Row],[_Res2Units]]="",DefaultUnits,Tasks[[#This Row],[_Res2Units]]))</f>
        <v>0</v>
      </c>
      <c r="DR186" s="42" t="n">
        <f aca="false">IF(AND(AND(Tasks[[#This Row],[_IsLeaf]]=1,Tasks[[#This Row],[_LeafTotalWork]]&gt;0),Tasks[[#This Row],[_Res2Work]]&gt;0),Tasks[[#This Row],[_Res2Work]]/(Tasks[[#This Row],[_FinishWorkday]]-Tasks[[#This Row],[_StartWorkday]]+1),0)</f>
        <v>0</v>
      </c>
      <c r="DS186" s="42" t="n">
        <f aca="false">Tasks[[#This Row],[_Res2WorkPerWD]]*MAX(0,Tasks[[#This Row],[_StartWorkday]]-1)</f>
        <v>0</v>
      </c>
      <c r="DT186" s="42" t="n">
        <f aca="false">Tasks[[#This Row],[_Res2Work]]*Tasks[[#This Row],[_LeafProgress]]</f>
        <v>0</v>
      </c>
      <c r="DU186" s="42" t="str">
        <f aca="false">IF(Tasks[[#This Row],[_Res3Text]]="","",IF(Tasks[[#This Row],[_Res3Row]]&gt;0,INDEX(res_Name,Tasks[[#This Row],[_Res3Row]]),TRIM(LEFT(Tasks[[#This Row],[_Res3Text]],FIND("[",Tasks[[#This Row],[_Res3Text]]&amp;"[")-1))))</f>
        <v/>
      </c>
      <c r="DV1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6" s="42" t="n">
        <f aca="false">IF(OR(NOT(Tasks[[#This Row],[_IsLeaf]]=1),Tasks[[#This Row],[_Res3Row]]=0),0,N(Tasks[[#This Row],[_Days]])*HoursPerDay*IF(Tasks[[#This Row],[_Res3Units]]="",DefaultUnits,Tasks[[#This Row],[_Res3Units]]))</f>
        <v>0</v>
      </c>
      <c r="DX186" s="42" t="n">
        <f aca="false">IF(AND(AND(Tasks[[#This Row],[_IsLeaf]]=1,Tasks[[#This Row],[_LeafTotalWork]]&gt;0),Tasks[[#This Row],[_Res3Work]]&gt;0),Tasks[[#This Row],[_Res3Work]]/(Tasks[[#This Row],[_FinishWorkday]]-Tasks[[#This Row],[_StartWorkday]]+1),0)</f>
        <v>0</v>
      </c>
      <c r="DY186" s="42" t="n">
        <f aca="false">Tasks[[#This Row],[_Res3WorkPerWD]]*MAX(0,Tasks[[#This Row],[_StartWorkday]]-1)</f>
        <v>0</v>
      </c>
      <c r="DZ186" s="42" t="n">
        <f aca="false">Tasks[[#This Row],[_Res3Work]]*Tasks[[#This Row],[_LeafProgress]]</f>
        <v>0</v>
      </c>
      <c r="EA186" s="42" t="str">
        <f aca="false">IF(Tasks[[#This Row],[_Res4Text]]="","",IF(Tasks[[#This Row],[_Res4Row]]&gt;0,INDEX(res_Name,Tasks[[#This Row],[_Res4Row]]),TRIM(LEFT(Tasks[[#This Row],[_Res4Text]],FIND("[",Tasks[[#This Row],[_Res4Text]]&amp;"[")-1))))</f>
        <v/>
      </c>
      <c r="EB1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6" s="42" t="n">
        <f aca="false">IF(OR(NOT(Tasks[[#This Row],[_IsLeaf]]=1),Tasks[[#This Row],[_Res4Row]]=0),0,N(Tasks[[#This Row],[_Days]])*HoursPerDay*IF(Tasks[[#This Row],[_Res4Units]]="",DefaultUnits,Tasks[[#This Row],[_Res4Units]]))</f>
        <v>0</v>
      </c>
      <c r="ED186" s="42" t="n">
        <f aca="false">IF(AND(AND(Tasks[[#This Row],[_IsLeaf]]=1,Tasks[[#This Row],[_LeafTotalWork]]&gt;0),Tasks[[#This Row],[_Res4Work]]&gt;0),Tasks[[#This Row],[_Res4Work]]/(Tasks[[#This Row],[_FinishWorkday]]-Tasks[[#This Row],[_StartWorkday]]+1),0)</f>
        <v>0</v>
      </c>
      <c r="EE186" s="42" t="n">
        <f aca="false">Tasks[[#This Row],[_Res4WorkPerWD]]*MAX(0,Tasks[[#This Row],[_StartWorkday]]-1)</f>
        <v>0</v>
      </c>
      <c r="EF186" s="42" t="n">
        <f aca="false">Tasks[[#This Row],[_Res4Work]]*Tasks[[#This Row],[_LeafProgress]]</f>
        <v>0</v>
      </c>
      <c r="EG186" s="42" t="n">
        <f aca="false">IF(ISNUMBER(Tasks[[#This Row],[% Complete]]),Tasks[[#This Row],[% Complete]],IF(Tasks[[#This Row],[Stage]]="",0,IFERROR(INDEX(stg_Pct,MATCH(Tasks[[#This Row],[Stage]],stg_Name,0)),0)))</f>
        <v>0</v>
      </c>
      <c r="EH186" s="42" t="n">
        <f aca="false">IF(NOT(Tasks[[#This Row],[_IsLeaf]]=1),0,IF(N(Tasks[[#This Row],[Actual Finish]])&gt;0,1,MIN(1,Tasks[[#This Row],[_Pct]])))</f>
        <v>0</v>
      </c>
      <c r="EI186" s="42" t="n">
        <f aca="false">IF(OR(NOT(Tasks[[#This Row],[_IsLeaf]]=1),Tasks[[#This Row],[_Res1Row]]=0),0,N(Tasks[[#This Row],[_Days]])*HoursPerDay*IF(Tasks[[#This Row],[_Units1]]="",DefaultUnits,Tasks[[#This Row],[_Units1]]))</f>
        <v>0</v>
      </c>
      <c r="EJ186" s="42" t="n">
        <f aca="false">Tasks[[#This Row],[_LeafWork]]+Tasks[[#This Row],[_Res2Work]]+Tasks[[#This Row],[_Res3Work]]+Tasks[[#This Row],[_Res4Work]]</f>
        <v>0</v>
      </c>
      <c r="EK1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6" s="42" t="n">
        <f aca="false">IF(NOT(Tasks[[#This Row],[_IsLeaf]]=1),0,MAX(_xlfn.MAXIFS(Tasks[_Row],Tasks[_Pred1UID],Tasks[[#This Row],[UID]]),_xlfn.MAXIFS(Tasks[_Row],Tasks[_Pred2UID],Tasks[[#This Row],[UID]]),_xlfn.MAXIFS(Tasks[_Row],Tasks[_Pred3UID],Tasks[[#This Row],[UID]]),_xlfn.MAXIFS(Tasks[_Row],Tasks[_Pred4UID],Tasks[[#This Row],[UID]])))</f>
        <v>0</v>
      </c>
      <c r="ET1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6" s="89" t="str">
        <f aca="false">IF(NOT(Tasks[[#This Row],[_IsLeaf]]=1),"",IF(N(Tasks[[#This Row],[_Days]])&lt;=0,Tasks[[#This Row],[_LeafLateFinish]],WORKDAY.INTL(Tasks[[#This Row],[_LeafLateFinish]],-(Tasks[[#This Row],[_Days]]-1),WorkWeek,Holidays)))</f>
        <v/>
      </c>
      <c r="EW1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6" s="88" t="b">
        <f aca="false">AND(Tasks[[#This Row],[_IsLeaf]]=1,Tasks[[#This Row],[_LeafProgress]]&lt;1,N(Tasks[[#This Row],[_LeafTotalSlack]])&lt;=CriticalSlackDays)</f>
        <v>0</v>
      </c>
      <c r="EY186" s="42" t="n">
        <f aca="false">IF(AND(Tasks[[#This Row],[_IsLeaf]]=1,Tasks[[#This Row],[_ConstraintCode]]=1,Tasks[[#This Row],[Mode]]&lt;&gt;"Manual",N(Tasks[[#This Row],[Actual Start]])=0),MAX(0,N(Tasks[[#This Row],[Free Slack]])),0)</f>
        <v>0</v>
      </c>
      <c r="EZ186" s="89" t="str">
        <f aca="false">IF(NOT(Tasks[[#This Row],[_IsLeaf]]=1),"",IF(Tasks[[#This Row],[_AlapShift]]=0,Tasks[[#This Row],[_LeafCalcStart]],WORKDAY.INTL(Tasks[[#This Row],[_LeafCalcStart]],Tasks[[#This Row],[_AlapShift]],WorkWeek,Holidays)))</f>
        <v/>
      </c>
      <c r="FA186" s="89" t="str">
        <f aca="false">IF(NOT(Tasks[[#This Row],[_IsLeaf]]=1),"",IF(Tasks[[#This Row],[_AlapShift]]=0,Tasks[[#This Row],[_LeafCalcFinish]],WORKDAY.INTL(Tasks[[#This Row],[_LeafCalcFinish]],Tasks[[#This Row],[_AlapShift]],WorkWeek,Holidays)))</f>
        <v/>
      </c>
      <c r="FB186" s="89" t="str">
        <f aca="false">IF(NOT(Tasks[[#This Row],[_IsLeaf]]=1),"",IF(Tasks[[#This Row],[_AlapShift]]=0,Tasks[[#This Row],[_LeafFcstStart]],WORKDAY.INTL(Tasks[[#This Row],[_LeafFcstStart]],Tasks[[#This Row],[_AlapShift]],WorkWeek,Holidays)))</f>
        <v/>
      </c>
      <c r="FC186" s="89" t="str">
        <f aca="false">IF(NOT(Tasks[[#This Row],[_IsLeaf]]=1),"",IF(Tasks[[#This Row],[_AlapShift]]=0,Tasks[[#This Row],[_LeafFcstFinish]],WORKDAY.INTL(Tasks[[#This Row],[_LeafFcstFinish]],Tasks[[#This Row],[_AlapShift]],WorkWeek,Holidays)))</f>
        <v/>
      </c>
      <c r="FD186" s="89" t="str">
        <f aca="false">IF(Tasks[[#This Row],[Task Name]]="","",IF(Tasks[[#This Row],[_IsSummary]],MIN(INDEX(Tasks[_ShownCalcStart],Tasks[[#This Row],[_Row]]+1):INDEX(Tasks[_ShownCalcStart],Tasks[[#This Row],[_Row]]+Tasks[[#This Row],[_Descendants]])),Tasks[[#This Row],[_ShownCalcStart]]))</f>
        <v/>
      </c>
      <c r="FE186" s="89" t="str">
        <f aca="false">IF(Tasks[[#This Row],[Task Name]]="","",IF(Tasks[[#This Row],[_IsSummary]],MAX(INDEX(Tasks[_ShownCalcFinish],Tasks[[#This Row],[_Row]]+1):INDEX(Tasks[_ShownCalcFinish],Tasks[[#This Row],[_Row]]+Tasks[[#This Row],[_Descendants]])),Tasks[[#This Row],[_ShownCalcFinish]]))</f>
        <v/>
      </c>
      <c r="FF1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6" s="42" t="n">
        <f aca="false">IF(AND(Tasks[[#This Row],[_IsLeaf]]=1,Tasks[[#This Row],[_LeafTotalWork]]&gt;0),NETWORKDAYS.INTL(ProjectStart,Tasks[[#This Row],[_ShownFcstStart]],WorkWeek,Holidays),0)</f>
        <v>0</v>
      </c>
      <c r="FS186" s="42" t="n">
        <f aca="false">IF(AND(Tasks[[#This Row],[_IsLeaf]]=1,Tasks[[#This Row],[_LeafTotalWork]]&gt;0),MAX(Tasks[[#This Row],[_StartWorkday]],NETWORKDAYS.INTL(ProjectStart,Tasks[[#This Row],[_ShownFcstFinish]],WorkWeek,Holidays)),0)</f>
        <v>0</v>
      </c>
      <c r="FT186" s="42" t="n">
        <f aca="false">IF(AND(Tasks[[#This Row],[_IsLeaf]]=1,Tasks[[#This Row],[_LeafTotalWork]]&gt;0),Tasks[[#This Row],[_LeafWork]]/(Tasks[[#This Row],[_FinishWorkday]]-Tasks[[#This Row],[_StartWorkday]]+1),0)</f>
        <v>0</v>
      </c>
      <c r="FU186" s="42" t="n">
        <f aca="false">Tasks[[#This Row],[_WorkPerWorkday]]*(Tasks[[#This Row],[_StartWorkday]]-1)</f>
        <v>-0</v>
      </c>
      <c r="FV186" s="42" t="n">
        <f aca="false">IF(Tasks[[#This Row],[_IsLeaf]]=1,MAX(N(Tasks[[#This Row],[_Days]]),0.1),0)</f>
        <v>0</v>
      </c>
      <c r="FW186" s="42" t="n">
        <f aca="false">Tasks[[#This Row],[_WeightDur]]*Tasks[[#This Row],[_LeafProgress]]</f>
        <v>0</v>
      </c>
      <c r="FX186" s="42" t="n">
        <f aca="false">Tasks[[#This Row],[_WeightDur]]*Tasks[[#This Row],[_PlannedPct]]</f>
        <v>0</v>
      </c>
      <c r="FY1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6" s="42" t="str">
        <f aca="false">IF(AND(Tasks[[#This Row],[_IsLeaf]]=1,N(Tasks[[#This Row],[_Days]])=0,Tasks[[#This Row],[_LeafProgress]]&lt;1),Tasks[[#This Row],[_ShownFcstFinish]]+Tasks[[#This Row],[_Row]]/100000,"")</f>
        <v/>
      </c>
      <c r="GA1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6" s="42" t="str">
        <f aca="false">IF(Tasks[[#This Row],[Task Name]]="","",LEFT(Tasks[[#This Row],[WBS]],FIND(".",Tasks[[#This Row],[WBS]]&amp;".")-1))</f>
        <v/>
      </c>
      <c r="GC186" s="42" t="str">
        <f aca="false">IF(AND(Tasks[[#This Row],[Task Name]]&lt;&gt;"",Tasks[[#This Row],[_Level]]=1),Tasks[[#This Row],[_Row]],"")</f>
        <v/>
      </c>
      <c r="GD186" s="42" t="str">
        <f aca="false">IF(AND(Tasks[[#This Row],[_IsLeaf]]=1,N(Tasks[[#This Row],[_Days]])=0),Tasks[[#This Row],[Planned Finish]]+Tasks[[#This Row],[_Row]]/100000,"")</f>
        <v/>
      </c>
      <c r="GE186" s="42" t="str">
        <f aca="false">IF(AND(Tasks[[#This Row],[_IsLeaf]]=1,Tasks[[#This Row],[_LeafProgress]]&lt;1,OR(N(Tasks[[#This Row],[Finish Var]])&gt;0,Tasks[[#This Row],[Status]]="Late Start")),MAX(0,Tasks[[#This Row],[Finish Var]])+1-Tasks[[#This Row],[_Row]]/1000000,"")</f>
        <v/>
      </c>
      <c r="GF186" s="42" t="str">
        <f aca="false">IF(AND(Tasks[[#This Row],[_IsLeaf]]=1,N(Tasks[[#This Row],[Actual Start]])=0,Tasks[[#This Row],[_ShownFcstStart]]&gt;=StatusDate,Tasks[[#This Row],[_ShownFcstStart]]&lt;=LookaheadEnd),Tasks[[#This Row],[_ShownFcstStart]]+Tasks[[#This Row],[_Row]]/100000,"")</f>
        <v/>
      </c>
      <c r="GG186" s="42" t="str">
        <f aca="false">IF(AND(Tasks[[#This Row],[_IsLeaf]]=1,Tasks[[#This Row],[_LeafProgress]]&lt;1,Tasks[[#This Row],[_ShownFcstFinish]]&gt;=StatusDate,Tasks[[#This Row],[_ShownFcstFinish]]&lt;=LookaheadEnd),Tasks[[#This Row],[_ShownFcstFinish]]+Tasks[[#This Row],[_Row]]/100000,"")</f>
        <v/>
      </c>
      <c r="GH186" s="42" t="str">
        <f aca="false">IF(Tasks[[#This Row],[_LeafCritical]],Tasks[[#This Row],[_ShownFcstStart]]+Tasks[[#This Row],[_Row]]/100000,"")</f>
        <v/>
      </c>
      <c r="GI186" s="42" t="n">
        <f aca="false">Tasks[[#This Row],[_LeafWork]]*Tasks[[#This Row],[_LeafProgress]]</f>
        <v>0</v>
      </c>
      <c r="GJ186" s="89" t="str">
        <f aca="false">IF(AND(Tasks[[#This Row],[_IsLeaf]]=1,Tasks[[#This Row],[_LeafProgress]]&gt;=1),IF(N(Tasks[[#This Row],[Actual Finish]])&gt;0,Tasks[[#This Row],[Actual Finish]],Tasks[[#This Row],[_ShownFcstFinish]]),"")</f>
        <v/>
      </c>
      <c r="GK186" s="42" t="n">
        <f aca="false">IF(Tasks[[#This Row],[_IsLeaf]]=1,N(Tasks[[#This Row],[Story Points]]),0)</f>
        <v>0</v>
      </c>
      <c r="GL186" s="42" t="str">
        <f aca="false">""</f>
        <v/>
      </c>
      <c r="GM186" s="88" t="b">
        <f aca="false">IF(Tasks[[#This Row],[Task Name]]="",FALSE(),AND(Tasks[[#This Row],[_IsLeaf]]=1,N(Tasks[[#This Row],[_Days]])=0))</f>
        <v>0</v>
      </c>
      <c r="GN186" s="89" t="n">
        <f aca="false">IF(Tasks[[#This Row],[Task Name]]="",0,IF(AND(Tasks[[#This Row],[_IsLeaf]]=1,NOT(Tasks[[#This Row],[_IsMilestone]]),N(Tasks[[#This Row],[Progress]])&gt;0),Tasks[[#This Row],[Start]],0))</f>
        <v>0</v>
      </c>
      <c r="GO186" s="89" t="n">
        <f aca="false">IF(Tasks[[#This Row],[_DoneFrom]]=0,0,IF(Tasks[[#This Row],[Progress]]&gt;=1,Tasks[[#This Row],[Finish]],MAX(Tasks[[#This Row],[_DoneFrom]],Tasks[[#This Row],[Start]]+ROUND((Tasks[[#This Row],[Finish]]-Tasks[[#This Row],[Start]]+1)*Tasks[[#This Row],[Progress]],0)-1)))</f>
        <v>0</v>
      </c>
      <c r="GP186" s="89" t="n">
        <f aca="false">IF(Tasks[[#This Row],[Task Name]]="",0,IF(OR(NOT(Tasks[[#This Row],[_IsLeaf]]=1),Tasks[[#This Row],[_IsMilestone]],N(Tasks[[#This Row],[Progress]])&gt;=1),0,IF(Tasks[[#This Row],[_DoneTo]]&gt;0,Tasks[[#This Row],[_DoneTo]]+1,Tasks[[#This Row],[Start]])))</f>
        <v>0</v>
      </c>
      <c r="GQ186" s="89" t="n">
        <f aca="false">IF(Tasks[[#This Row],[_RemFrom]]=0,0,Tasks[[#This Row],[Finish]])</f>
        <v>0</v>
      </c>
      <c r="GR186" s="88" t="b">
        <f aca="false">IF(Tasks[[#This Row],[Task Name]]="",FALSE(),OR(NOT(BaselineSet),N(Tasks[[#This Row],[Baseline Start]])&gt;0))</f>
        <v>0</v>
      </c>
      <c r="GS1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6" s="90" t="str">
        <f aca="false">IF(Tasks[[#This Row],[_IsLeaf]]=1,Tasks[[#This Row],[_Row]],"")</f>
        <v/>
      </c>
      <c r="GW186" s="90" t="str">
        <f aca="false">IFERROR(INDEX(Tasks[UID],SMALL(Tasks[_PickKey],Tasks[[#This Row],[_Row]]))&amp;" "&amp;INDEX(Tasks[Task Name],SMALL(Tasks[_PickKey],Tasks[[#This Row],[_Row]])),"")</f>
        <v/>
      </c>
      <c r="GX186" s="42" t="str">
        <f aca="false">IF(Tasks[[#This Row],[Task Name]]="","",IF(Tasks[[#This Row],[_IsSummary]],NETWORKDAYS.INTL(Tasks[[#This Row],[Start]],Tasks[[#This Row],[Finish]],WorkWeek,Holidays),N(Tasks[[#This Row],[_Days]])))</f>
        <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3"/>
      <c r="U187" s="23"/>
      <c r="V187" s="83"/>
      <c r="W187" s="23"/>
      <c r="X187" s="83"/>
      <c r="Y187" s="23"/>
      <c r="Z187" s="83"/>
      <c r="AA187" s="23"/>
      <c r="AB187" s="23"/>
      <c r="AC187" s="7"/>
      <c r="AD187" s="7"/>
      <c r="AE187" s="62" t="str">
        <f aca="false">IF(Tasks[[#This Row],[Task Name]]="","",IF(Tasks[[#This Row],[_IsSummary]],MIN(INDEX(Tasks[_ShownFcstStart],Tasks[[#This Row],[_Row]]+1):INDEX(Tasks[_ShownFcstStart],Tasks[[#This Row],[_Row]]+Tasks[[#This Row],[_Descendants]])),Tasks[[#This Row],[_ShownFcstStart]]))</f>
        <v/>
      </c>
      <c r="AF187" s="62"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7" s="7"/>
      <c r="AK187" s="22"/>
      <c r="AL187" s="23"/>
      <c r="AM187" s="7"/>
      <c r="AN187" s="46"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2" t="str">
        <f aca="false">IF(Tasks[[#This Row],[Task Name]]="","",IF(N(Tasks[[#This Row],[Baseline Start]])&gt;0,Tasks[[#This Row],[Baseline Start]],Tasks[[#This Row],[_CalcStart]]))</f>
        <v/>
      </c>
      <c r="AR187" s="62" t="str">
        <f aca="false">IF(Tasks[[#This Row],[Task Name]]="","",IF(N(Tasks[[#This Row],[Baseline Finish]])&gt;0,Tasks[[#This Row],[Baseline Finish]],Tasks[[#This Row],[_CalcFinish]]))</f>
        <v/>
      </c>
      <c r="AS187" s="46" t="str">
        <f aca="false">IF(Tasks[[#This Row],[Task Name]]="","",IF(Tasks[[#This Row],[Start]]&gt;=Tasks[[#This Row],[Planned Start]],NETWORKDAYS.INTL(Tasks[[#This Row],[Planned Start]],Tasks[[#This Row],[Start]],WorkWeek,Holidays)-1,1-NETWORKDAYS.INTL(Tasks[[#This Row],[Start]],Tasks[[#This Row],[Planned Start]],WorkWeek,Holidays)))</f>
        <v/>
      </c>
      <c r="AT187" s="62" t="str">
        <f aca="false">IF(Tasks[[#This Row],[Task Name]]="","",IF(Tasks[[#This Row],[_IsSummary]],MIN(INDEX(Tasks[_LeafLateStart],Tasks[[#This Row],[_Row]]+1):INDEX(Tasks[_LeafLateStart],Tasks[[#This Row],[_Row]]+Tasks[[#This Row],[_Descendants]])),Tasks[[#This Row],[_LeafLateStart]]))</f>
        <v/>
      </c>
      <c r="AU187" s="62" t="str">
        <f aca="false">IF(Tasks[[#This Row],[Task Name]]="","",IF(Tasks[[#This Row],[_IsSummary]],MAX(INDEX(Tasks[_LeafLateFinish],Tasks[[#This Row],[_Row]]+1):INDEX(Tasks[_LeafLateFinish],Tasks[[#This Row],[_Row]]+Tasks[[#This Row],[_Descendants]])),Tasks[[#This Row],[_LeafLateFinish]]))</f>
        <v/>
      </c>
      <c r="AV187" s="46"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4"/>
      <c r="BA1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5"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6"/>
      <c r="BJ187" s="22"/>
      <c r="BK187" s="46" t="str">
        <f aca="false">IF(OR(Tasks[[#This Row],[Task Name]]="",Tasks[[#This Row],[Baseline Duration]]=""),"",Tasks[[#This Row],[_SpanDays]]-N(Tasks[[#This Row],[Baseline Duration]]))</f>
        <v/>
      </c>
      <c r="BL187" s="85" t="str">
        <f aca="false">IF(OR(Tasks[[#This Row],[Task Name]]="",Tasks[[#This Row],[Baseline Work]]=""),"",Tasks[[#This Row],[Work]]-N(Tasks[[#This Row],[Baseline Work]]))</f>
        <v/>
      </c>
      <c r="BM187" s="62" t="str">
        <f aca="false">IF(Tasks[[#This Row],[Task Name]]="","",IF(OR(TakeBaseline="Yes",N(Tasks[[#This Row],[Baseline Start]])=0),Tasks[[#This Row],[Start]],Tasks[[#This Row],[Baseline Start]]))</f>
        <v/>
      </c>
      <c r="BN187" s="62"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5" t="str">
        <f aca="false">IF(Tasks[[#This Row],[Task Name]]="","",IF(OR(TakeBaseline="Yes",N(Tasks[[#This Row],[Baseline Work]])=0),Tasks[[#This Row],[Work]],Tasks[[#This Row],[Baseline Work]]))</f>
        <v/>
      </c>
      <c r="BQ187" s="7"/>
      <c r="BR187" s="7"/>
      <c r="BS187" s="22"/>
      <c r="BT187" s="87"/>
      <c r="BU187" s="42" t="str">
        <f aca="false">IF(Tasks[[#This Row],[Task Name]]="","",MAX(1,N(Tasks[[#This Row],[Level]])))</f>
        <v/>
      </c>
      <c r="BV187" s="42" t="n">
        <f aca="false">ROW()-ROW(Tasks[[#Headers],[ID]])</f>
        <v>182</v>
      </c>
      <c r="BW187" s="42" t="n">
        <f aca="false">IF(OR(Tasks[[#This Row],[Task Name]]="",Tasks[[#This Row],[_Level]]&lt;=1),0,IFERROR(LOOKUP(2,1/(Tasks[[#Headers],[_Level]]:Tasks[[#This Row],[_Level]]=Tasks[[#This Row],[_Level]]-1),ROW(Tasks[[#Headers],[_Level]]:Tasks[[#This Row],[_Level]])),0))</f>
        <v>0</v>
      </c>
      <c r="BX187" s="42" t="n">
        <f aca="false">IFERROR(N(INDEX(Tasks[_Level],Tasks[[#This Row],[_Row]]+1)),0)</f>
        <v>0</v>
      </c>
      <c r="BY187" s="88" t="b">
        <f aca="false">AND(Tasks[[#This Row],[Task Name]]&lt;&gt;"",Tasks[[#This Row],[_NextLevel]]&gt;Tasks[[#This Row],[_Level]])</f>
        <v>0</v>
      </c>
      <c r="BZ187" s="42" t="n">
        <f aca="false">IF(Tasks[[#This Row],[_IsSummary]],COUNTIF(Tasks[WBS],Tasks[[#This Row],[WBS]]&amp;".*"),0)</f>
        <v>0</v>
      </c>
      <c r="CA187" s="42" t="n">
        <f aca="false">IF(AND(Tasks[[#This Row],[Task Name]]&lt;&gt;"",NOT(Tasks[[#This Row],[_IsSummary]])),1,0)</f>
        <v>0</v>
      </c>
      <c r="CB187" s="42" t="n">
        <f aca="false">IF(N(Tasks[[#This Row],[_Pred1UID]])=0,0,IFERROR(MATCH(Tasks[[#This Row],[_Pred1UID]],Tasks[UID],0),-1))</f>
        <v>0</v>
      </c>
      <c r="CC187" s="42" t="n">
        <f aca="false">IF(N(Tasks[[#This Row],[_Pred2UID]])=0,0,IFERROR(MATCH(Tasks[[#This Row],[_Pred2UID]],Tasks[UID],0),-1))</f>
        <v>0</v>
      </c>
      <c r="CD187" s="42" t="n">
        <f aca="false">IF(N(Tasks[[#This Row],[_Pred3UID]])=0,0,IFERROR(MATCH(Tasks[[#This Row],[_Pred3UID]],Tasks[UID],0),-1))</f>
        <v>0</v>
      </c>
      <c r="CE187" s="42" t="n">
        <f aca="false">IF(N(Tasks[[#This Row],[_Pred4UID]])=0,0,IFERROR(MATCH(Tasks[[#This Row],[_Pred4UID]],Tasks[UID],0),-1))</f>
        <v>0</v>
      </c>
      <c r="CF1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7" s="89" t="n">
        <f aca="false">IF(OR(Tasks[[#This Row],[_ConstraintCode]]=2,Tasks[[#This Row],[_ConstraintCode]]=3,Tasks[[#This Row],[_ConstraintCode]]=4,Tasks[[#This Row],[_ConstraintCode]]=6),Tasks[[#This Row],[_ConstraintStart]],0)</f>
        <v>0</v>
      </c>
      <c r="CI187" s="89" t="n">
        <f aca="false">IF(OR(Tasks[[#This Row],[_ConstraintCode]]=2,Tasks[[#This Row],[_ConstraintCode]]=3,Tasks[[#This Row],[_ConstraintCode]]=5,Tasks[[#This Row],[_ConstraintCode]]=7),Tasks[[#This Row],[_ConstraintStart]],2958465)</f>
        <v>2958465</v>
      </c>
      <c r="CJ1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7" s="89" t="str">
        <f aca="false">IF(NOT(Tasks[[#This Row],[_IsLeaf]]=1),"",IF(N(Tasks[[#This Row],[_Days]])&lt;=0,Tasks[[#This Row],[_LeafCalcStart]],WORKDAY.INTL(Tasks[[#This Row],[_LeafCalcStart]],Tasks[[#This Row],[_Days]]-1,WorkWeek,Holidays)))</f>
        <v/>
      </c>
      <c r="CL1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7" s="42" t="str">
        <f aca="false">IF(Tasks[[#This Row],[_Predecessors]]="","",TRIM(MID(SUBSTITUTE(SUBSTITUTE(SUBSTITUTE(UPPER(Tasks[[#This Row],[_Predecessors]]),";",",")," ",""),",",REPT(" ",99)),1,99)))</f>
        <v/>
      </c>
      <c r="CO187" s="42" t="str">
        <f aca="false">IF(Tasks[[#This Row],[_Pred1Text]]="","",IFERROR(VALUE(LEFT(Tasks[[#This Row],[_Pred1Text]],MIN(FIND("F",Tasks[[#This Row],[_Pred1Text]]&amp;"F"),FIND("S",Tasks[[#This Row],[_Pred1Text]]&amp;"S"),FIND("+",Tasks[[#This Row],[_Pred1Text]]&amp;"+"),FIND("-",Tasks[[#This Row],[_Pred1Text]]&amp;"-"))-1)),""))</f>
        <v/>
      </c>
      <c r="CP1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7" s="42" t="str">
        <f aca="false">IF(Tasks[[#This Row],[_Pred1Text]]="","",TRIM(MID(SUBSTITUTE(SUBSTITUTE(SUBSTITUTE(UPPER(Tasks[[#This Row],[_Predecessors]]),";",",")," ",""),",",REPT(" ",99)),100,99)))</f>
        <v/>
      </c>
      <c r="CS187" s="42" t="str">
        <f aca="false">IF(Tasks[[#This Row],[_Pred2Text]]="","",IFERROR(VALUE(LEFT(Tasks[[#This Row],[_Pred2Text]],MIN(FIND("F",Tasks[[#This Row],[_Pred2Text]]&amp;"F"),FIND("S",Tasks[[#This Row],[_Pred2Text]]&amp;"S"),FIND("+",Tasks[[#This Row],[_Pred2Text]]&amp;"+"),FIND("-",Tasks[[#This Row],[_Pred2Text]]&amp;"-"))-1)),""))</f>
        <v/>
      </c>
      <c r="CT1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7" s="42" t="str">
        <f aca="false">IF(Tasks[[#This Row],[_Pred2Text]]="","",TRIM(MID(SUBSTITUTE(SUBSTITUTE(SUBSTITUTE(UPPER(Tasks[[#This Row],[_Predecessors]]),";",",")," ",""),",",REPT(" ",99)),199,99)))</f>
        <v/>
      </c>
      <c r="CW187" s="42" t="str">
        <f aca="false">IF(Tasks[[#This Row],[_Pred3Text]]="","",IFERROR(VALUE(LEFT(Tasks[[#This Row],[_Pred3Text]],MIN(FIND("F",Tasks[[#This Row],[_Pred3Text]]&amp;"F"),FIND("S",Tasks[[#This Row],[_Pred3Text]]&amp;"S"),FIND("+",Tasks[[#This Row],[_Pred3Text]]&amp;"+"),FIND("-",Tasks[[#This Row],[_Pred3Text]]&amp;"-"))-1)),""))</f>
        <v/>
      </c>
      <c r="CX1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7" s="42" t="str">
        <f aca="false">IF(Tasks[[#This Row],[_Pred3Text]]="","",TRIM(MID(SUBSTITUTE(SUBSTITUTE(SUBSTITUTE(UPPER(Tasks[[#This Row],[_Predecessors]]),";",",")," ",""),",",REPT(" ",99)),298,99)))</f>
        <v/>
      </c>
      <c r="DA187" s="42" t="str">
        <f aca="false">IF(Tasks[[#This Row],[_Pred4Text]]="","",IFERROR(VALUE(LEFT(Tasks[[#This Row],[_Pred4Text]],MIN(FIND("F",Tasks[[#This Row],[_Pred4Text]]&amp;"F"),FIND("S",Tasks[[#This Row],[_Pred4Text]]&amp;"S"),FIND("+",Tasks[[#This Row],[_Pred4Text]]&amp;"+"),FIND("-",Tasks[[#This Row],[_Pred4Text]]&amp;"-"))-1)),""))</f>
        <v/>
      </c>
      <c r="DB1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7" s="42" t="str">
        <f aca="false">IF(OR(Tasks[[#This Row],[Task Name]]="",Tasks[[#This Row],[_Resources]]=""),"",TRIM(MID(SUBSTITUTE(Tasks[[#This Row],[_Resources]],",",REPT(" ",99)),1,99)))</f>
        <v/>
      </c>
      <c r="DE187" s="42" t="str">
        <f aca="false">IF(Tasks[[#This Row],[_Res1Text]]="","",TRIM(MID(SUBSTITUTE(Tasks[[#This Row],[_Resources]],",",REPT(" ",99)),100,99)))</f>
        <v/>
      </c>
      <c r="DF187" s="42" t="str">
        <f aca="false">IF(Tasks[[#This Row],[_Res2Text]]="","",TRIM(MID(SUBSTITUTE(Tasks[[#This Row],[_Resources]],",",REPT(" ",99)),199,99)))</f>
        <v/>
      </c>
      <c r="DG187" s="42" t="str">
        <f aca="false">IF(Tasks[[#This Row],[_Res3Text]]="","",TRIM(MID(SUBSTITUTE(Tasks[[#This Row],[_Resources]],",",REPT(" ",99)),298,99)))</f>
        <v/>
      </c>
      <c r="DH187" s="42" t="n">
        <f aca="false">IF(Tasks[[#This Row],[_Res1Text]]="",0,IFERROR(MATCH(TRIM(LEFT(Tasks[[#This Row],[_Res1Text]],FIND("[",Tasks[[#This Row],[_Res1Text]]&amp;"[")-1)),res_Name,0),IFERROR(MATCH(TRIM(LEFT(Tasks[[#This Row],[_Res1Text]],FIND("[",Tasks[[#This Row],[_Res1Text]]&amp;"[")-1)),res_Initials,0),0)))</f>
        <v>0</v>
      </c>
      <c r="DI187" s="42" t="n">
        <f aca="false">IF(Tasks[[#This Row],[_Res2Text]]="",0,IFERROR(MATCH(TRIM(LEFT(Tasks[[#This Row],[_Res2Text]],FIND("[",Tasks[[#This Row],[_Res2Text]]&amp;"[")-1)),res_Name,0),IFERROR(MATCH(TRIM(LEFT(Tasks[[#This Row],[_Res2Text]],FIND("[",Tasks[[#This Row],[_Res2Text]]&amp;"[")-1)),res_Initials,0),0)))</f>
        <v>0</v>
      </c>
      <c r="DJ187" s="42" t="n">
        <f aca="false">IF(Tasks[[#This Row],[_Res3Text]]="",0,IFERROR(MATCH(TRIM(LEFT(Tasks[[#This Row],[_Res3Text]],FIND("[",Tasks[[#This Row],[_Res3Text]]&amp;"[")-1)),res_Name,0),IFERROR(MATCH(TRIM(LEFT(Tasks[[#This Row],[_Res3Text]],FIND("[",Tasks[[#This Row],[_Res3Text]]&amp;"[")-1)),res_Initials,0),0)))</f>
        <v>0</v>
      </c>
      <c r="DK187" s="42" t="n">
        <f aca="false">IF(Tasks[[#This Row],[_Res4Text]]="",0,IFERROR(MATCH(TRIM(LEFT(Tasks[[#This Row],[_Res4Text]],FIND("[",Tasks[[#This Row],[_Res4Text]]&amp;"[")-1)),res_Name,0),IFERROR(MATCH(TRIM(LEFT(Tasks[[#This Row],[_Res4Text]],FIND("[",Tasks[[#This Row],[_Res4Text]]&amp;"[")-1)),res_Initials,0),0)))</f>
        <v>0</v>
      </c>
      <c r="DL187" s="42" t="str">
        <f aca="false">IF(Tasks[[#This Row],[_Res1Text]]="","",IF(Tasks[[#This Row],[_Res1Row]]&gt;0,INDEX(res_Name,Tasks[[#This Row],[_Res1Row]]),TRIM(LEFT(Tasks[[#This Row],[_Res1Text]],FIND("[",Tasks[[#This Row],[_Res1Text]]&amp;"[")-1))))</f>
        <v/>
      </c>
      <c r="DM1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7" s="42" t="n">
        <f aca="false">IF(NOT(Tasks[[#This Row],[_IsLeaf]]=1),0,(Tasks[[#This Row],[_Resource1]]&lt;&gt;"")+(Tasks[[#This Row],[_Res2]]&lt;&gt;"")+(Tasks[[#This Row],[_Res3]]&lt;&gt;"")+(Tasks[[#This Row],[_Res4]]&lt;&gt;""))</f>
        <v>0</v>
      </c>
      <c r="DO187" s="42" t="str">
        <f aca="false">IF(Tasks[[#This Row],[_Res2Text]]="","",IF(Tasks[[#This Row],[_Res2Row]]&gt;0,INDEX(res_Name,Tasks[[#This Row],[_Res2Row]]),TRIM(LEFT(Tasks[[#This Row],[_Res2Text]],FIND("[",Tasks[[#This Row],[_Res2Text]]&amp;"[")-1))))</f>
        <v/>
      </c>
      <c r="DP1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7" s="42" t="n">
        <f aca="false">IF(OR(NOT(Tasks[[#This Row],[_IsLeaf]]=1),Tasks[[#This Row],[_Res2Row]]=0),0,N(Tasks[[#This Row],[_Days]])*HoursPerDay*IF(Tasks[[#This Row],[_Res2Units]]="",DefaultUnits,Tasks[[#This Row],[_Res2Units]]))</f>
        <v>0</v>
      </c>
      <c r="DR187" s="42" t="n">
        <f aca="false">IF(AND(AND(Tasks[[#This Row],[_IsLeaf]]=1,Tasks[[#This Row],[_LeafTotalWork]]&gt;0),Tasks[[#This Row],[_Res2Work]]&gt;0),Tasks[[#This Row],[_Res2Work]]/(Tasks[[#This Row],[_FinishWorkday]]-Tasks[[#This Row],[_StartWorkday]]+1),0)</f>
        <v>0</v>
      </c>
      <c r="DS187" s="42" t="n">
        <f aca="false">Tasks[[#This Row],[_Res2WorkPerWD]]*MAX(0,Tasks[[#This Row],[_StartWorkday]]-1)</f>
        <v>0</v>
      </c>
      <c r="DT187" s="42" t="n">
        <f aca="false">Tasks[[#This Row],[_Res2Work]]*Tasks[[#This Row],[_LeafProgress]]</f>
        <v>0</v>
      </c>
      <c r="DU187" s="42" t="str">
        <f aca="false">IF(Tasks[[#This Row],[_Res3Text]]="","",IF(Tasks[[#This Row],[_Res3Row]]&gt;0,INDEX(res_Name,Tasks[[#This Row],[_Res3Row]]),TRIM(LEFT(Tasks[[#This Row],[_Res3Text]],FIND("[",Tasks[[#This Row],[_Res3Text]]&amp;"[")-1))))</f>
        <v/>
      </c>
      <c r="DV1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7" s="42" t="n">
        <f aca="false">IF(OR(NOT(Tasks[[#This Row],[_IsLeaf]]=1),Tasks[[#This Row],[_Res3Row]]=0),0,N(Tasks[[#This Row],[_Days]])*HoursPerDay*IF(Tasks[[#This Row],[_Res3Units]]="",DefaultUnits,Tasks[[#This Row],[_Res3Units]]))</f>
        <v>0</v>
      </c>
      <c r="DX187" s="42" t="n">
        <f aca="false">IF(AND(AND(Tasks[[#This Row],[_IsLeaf]]=1,Tasks[[#This Row],[_LeafTotalWork]]&gt;0),Tasks[[#This Row],[_Res3Work]]&gt;0),Tasks[[#This Row],[_Res3Work]]/(Tasks[[#This Row],[_FinishWorkday]]-Tasks[[#This Row],[_StartWorkday]]+1),0)</f>
        <v>0</v>
      </c>
      <c r="DY187" s="42" t="n">
        <f aca="false">Tasks[[#This Row],[_Res3WorkPerWD]]*MAX(0,Tasks[[#This Row],[_StartWorkday]]-1)</f>
        <v>0</v>
      </c>
      <c r="DZ187" s="42" t="n">
        <f aca="false">Tasks[[#This Row],[_Res3Work]]*Tasks[[#This Row],[_LeafProgress]]</f>
        <v>0</v>
      </c>
      <c r="EA187" s="42" t="str">
        <f aca="false">IF(Tasks[[#This Row],[_Res4Text]]="","",IF(Tasks[[#This Row],[_Res4Row]]&gt;0,INDEX(res_Name,Tasks[[#This Row],[_Res4Row]]),TRIM(LEFT(Tasks[[#This Row],[_Res4Text]],FIND("[",Tasks[[#This Row],[_Res4Text]]&amp;"[")-1))))</f>
        <v/>
      </c>
      <c r="EB1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7" s="42" t="n">
        <f aca="false">IF(OR(NOT(Tasks[[#This Row],[_IsLeaf]]=1),Tasks[[#This Row],[_Res4Row]]=0),0,N(Tasks[[#This Row],[_Days]])*HoursPerDay*IF(Tasks[[#This Row],[_Res4Units]]="",DefaultUnits,Tasks[[#This Row],[_Res4Units]]))</f>
        <v>0</v>
      </c>
      <c r="ED187" s="42" t="n">
        <f aca="false">IF(AND(AND(Tasks[[#This Row],[_IsLeaf]]=1,Tasks[[#This Row],[_LeafTotalWork]]&gt;0),Tasks[[#This Row],[_Res4Work]]&gt;0),Tasks[[#This Row],[_Res4Work]]/(Tasks[[#This Row],[_FinishWorkday]]-Tasks[[#This Row],[_StartWorkday]]+1),0)</f>
        <v>0</v>
      </c>
      <c r="EE187" s="42" t="n">
        <f aca="false">Tasks[[#This Row],[_Res4WorkPerWD]]*MAX(0,Tasks[[#This Row],[_StartWorkday]]-1)</f>
        <v>0</v>
      </c>
      <c r="EF187" s="42" t="n">
        <f aca="false">Tasks[[#This Row],[_Res4Work]]*Tasks[[#This Row],[_LeafProgress]]</f>
        <v>0</v>
      </c>
      <c r="EG187" s="42" t="n">
        <f aca="false">IF(ISNUMBER(Tasks[[#This Row],[% Complete]]),Tasks[[#This Row],[% Complete]],IF(Tasks[[#This Row],[Stage]]="",0,IFERROR(INDEX(stg_Pct,MATCH(Tasks[[#This Row],[Stage]],stg_Name,0)),0)))</f>
        <v>0</v>
      </c>
      <c r="EH187" s="42" t="n">
        <f aca="false">IF(NOT(Tasks[[#This Row],[_IsLeaf]]=1),0,IF(N(Tasks[[#This Row],[Actual Finish]])&gt;0,1,MIN(1,Tasks[[#This Row],[_Pct]])))</f>
        <v>0</v>
      </c>
      <c r="EI187" s="42" t="n">
        <f aca="false">IF(OR(NOT(Tasks[[#This Row],[_IsLeaf]]=1),Tasks[[#This Row],[_Res1Row]]=0),0,N(Tasks[[#This Row],[_Days]])*HoursPerDay*IF(Tasks[[#This Row],[_Units1]]="",DefaultUnits,Tasks[[#This Row],[_Units1]]))</f>
        <v>0</v>
      </c>
      <c r="EJ187" s="42" t="n">
        <f aca="false">Tasks[[#This Row],[_LeafWork]]+Tasks[[#This Row],[_Res2Work]]+Tasks[[#This Row],[_Res3Work]]+Tasks[[#This Row],[_Res4Work]]</f>
        <v>0</v>
      </c>
      <c r="EK1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7" s="42" t="n">
        <f aca="false">IF(NOT(Tasks[[#This Row],[_IsLeaf]]=1),0,MAX(_xlfn.MAXIFS(Tasks[_Row],Tasks[_Pred1UID],Tasks[[#This Row],[UID]]),_xlfn.MAXIFS(Tasks[_Row],Tasks[_Pred2UID],Tasks[[#This Row],[UID]]),_xlfn.MAXIFS(Tasks[_Row],Tasks[_Pred3UID],Tasks[[#This Row],[UID]]),_xlfn.MAXIFS(Tasks[_Row],Tasks[_Pred4UID],Tasks[[#This Row],[UID]])))</f>
        <v>0</v>
      </c>
      <c r="ET1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7" s="89" t="str">
        <f aca="false">IF(NOT(Tasks[[#This Row],[_IsLeaf]]=1),"",IF(N(Tasks[[#This Row],[_Days]])&lt;=0,Tasks[[#This Row],[_LeafLateFinish]],WORKDAY.INTL(Tasks[[#This Row],[_LeafLateFinish]],-(Tasks[[#This Row],[_Days]]-1),WorkWeek,Holidays)))</f>
        <v/>
      </c>
      <c r="EW1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7" s="88" t="b">
        <f aca="false">AND(Tasks[[#This Row],[_IsLeaf]]=1,Tasks[[#This Row],[_LeafProgress]]&lt;1,N(Tasks[[#This Row],[_LeafTotalSlack]])&lt;=CriticalSlackDays)</f>
        <v>0</v>
      </c>
      <c r="EY187" s="42" t="n">
        <f aca="false">IF(AND(Tasks[[#This Row],[_IsLeaf]]=1,Tasks[[#This Row],[_ConstraintCode]]=1,Tasks[[#This Row],[Mode]]&lt;&gt;"Manual",N(Tasks[[#This Row],[Actual Start]])=0),MAX(0,N(Tasks[[#This Row],[Free Slack]])),0)</f>
        <v>0</v>
      </c>
      <c r="EZ187" s="89" t="str">
        <f aca="false">IF(NOT(Tasks[[#This Row],[_IsLeaf]]=1),"",IF(Tasks[[#This Row],[_AlapShift]]=0,Tasks[[#This Row],[_LeafCalcStart]],WORKDAY.INTL(Tasks[[#This Row],[_LeafCalcStart]],Tasks[[#This Row],[_AlapShift]],WorkWeek,Holidays)))</f>
        <v/>
      </c>
      <c r="FA187" s="89" t="str">
        <f aca="false">IF(NOT(Tasks[[#This Row],[_IsLeaf]]=1),"",IF(Tasks[[#This Row],[_AlapShift]]=0,Tasks[[#This Row],[_LeafCalcFinish]],WORKDAY.INTL(Tasks[[#This Row],[_LeafCalcFinish]],Tasks[[#This Row],[_AlapShift]],WorkWeek,Holidays)))</f>
        <v/>
      </c>
      <c r="FB187" s="89" t="str">
        <f aca="false">IF(NOT(Tasks[[#This Row],[_IsLeaf]]=1),"",IF(Tasks[[#This Row],[_AlapShift]]=0,Tasks[[#This Row],[_LeafFcstStart]],WORKDAY.INTL(Tasks[[#This Row],[_LeafFcstStart]],Tasks[[#This Row],[_AlapShift]],WorkWeek,Holidays)))</f>
        <v/>
      </c>
      <c r="FC187" s="89" t="str">
        <f aca="false">IF(NOT(Tasks[[#This Row],[_IsLeaf]]=1),"",IF(Tasks[[#This Row],[_AlapShift]]=0,Tasks[[#This Row],[_LeafFcstFinish]],WORKDAY.INTL(Tasks[[#This Row],[_LeafFcstFinish]],Tasks[[#This Row],[_AlapShift]],WorkWeek,Holidays)))</f>
        <v/>
      </c>
      <c r="FD187" s="89" t="str">
        <f aca="false">IF(Tasks[[#This Row],[Task Name]]="","",IF(Tasks[[#This Row],[_IsSummary]],MIN(INDEX(Tasks[_ShownCalcStart],Tasks[[#This Row],[_Row]]+1):INDEX(Tasks[_ShownCalcStart],Tasks[[#This Row],[_Row]]+Tasks[[#This Row],[_Descendants]])),Tasks[[#This Row],[_ShownCalcStart]]))</f>
        <v/>
      </c>
      <c r="FE187" s="89" t="str">
        <f aca="false">IF(Tasks[[#This Row],[Task Name]]="","",IF(Tasks[[#This Row],[_IsSummary]],MAX(INDEX(Tasks[_ShownCalcFinish],Tasks[[#This Row],[_Row]]+1):INDEX(Tasks[_ShownCalcFinish],Tasks[[#This Row],[_Row]]+Tasks[[#This Row],[_Descendants]])),Tasks[[#This Row],[_ShownCalcFinish]]))</f>
        <v/>
      </c>
      <c r="FF1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7" s="42" t="n">
        <f aca="false">IF(AND(Tasks[[#This Row],[_IsLeaf]]=1,Tasks[[#This Row],[_LeafTotalWork]]&gt;0),NETWORKDAYS.INTL(ProjectStart,Tasks[[#This Row],[_ShownFcstStart]],WorkWeek,Holidays),0)</f>
        <v>0</v>
      </c>
      <c r="FS187" s="42" t="n">
        <f aca="false">IF(AND(Tasks[[#This Row],[_IsLeaf]]=1,Tasks[[#This Row],[_LeafTotalWork]]&gt;0),MAX(Tasks[[#This Row],[_StartWorkday]],NETWORKDAYS.INTL(ProjectStart,Tasks[[#This Row],[_ShownFcstFinish]],WorkWeek,Holidays)),0)</f>
        <v>0</v>
      </c>
      <c r="FT187" s="42" t="n">
        <f aca="false">IF(AND(Tasks[[#This Row],[_IsLeaf]]=1,Tasks[[#This Row],[_LeafTotalWork]]&gt;0),Tasks[[#This Row],[_LeafWork]]/(Tasks[[#This Row],[_FinishWorkday]]-Tasks[[#This Row],[_StartWorkday]]+1),0)</f>
        <v>0</v>
      </c>
      <c r="FU187" s="42" t="n">
        <f aca="false">Tasks[[#This Row],[_WorkPerWorkday]]*(Tasks[[#This Row],[_StartWorkday]]-1)</f>
        <v>-0</v>
      </c>
      <c r="FV187" s="42" t="n">
        <f aca="false">IF(Tasks[[#This Row],[_IsLeaf]]=1,MAX(N(Tasks[[#This Row],[_Days]]),0.1),0)</f>
        <v>0</v>
      </c>
      <c r="FW187" s="42" t="n">
        <f aca="false">Tasks[[#This Row],[_WeightDur]]*Tasks[[#This Row],[_LeafProgress]]</f>
        <v>0</v>
      </c>
      <c r="FX187" s="42" t="n">
        <f aca="false">Tasks[[#This Row],[_WeightDur]]*Tasks[[#This Row],[_PlannedPct]]</f>
        <v>0</v>
      </c>
      <c r="FY1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7" s="42" t="str">
        <f aca="false">IF(AND(Tasks[[#This Row],[_IsLeaf]]=1,N(Tasks[[#This Row],[_Days]])=0,Tasks[[#This Row],[_LeafProgress]]&lt;1),Tasks[[#This Row],[_ShownFcstFinish]]+Tasks[[#This Row],[_Row]]/100000,"")</f>
        <v/>
      </c>
      <c r="GA1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7" s="42" t="str">
        <f aca="false">IF(Tasks[[#This Row],[Task Name]]="","",LEFT(Tasks[[#This Row],[WBS]],FIND(".",Tasks[[#This Row],[WBS]]&amp;".")-1))</f>
        <v/>
      </c>
      <c r="GC187" s="42" t="str">
        <f aca="false">IF(AND(Tasks[[#This Row],[Task Name]]&lt;&gt;"",Tasks[[#This Row],[_Level]]=1),Tasks[[#This Row],[_Row]],"")</f>
        <v/>
      </c>
      <c r="GD187" s="42" t="str">
        <f aca="false">IF(AND(Tasks[[#This Row],[_IsLeaf]]=1,N(Tasks[[#This Row],[_Days]])=0),Tasks[[#This Row],[Planned Finish]]+Tasks[[#This Row],[_Row]]/100000,"")</f>
        <v/>
      </c>
      <c r="GE187" s="42" t="str">
        <f aca="false">IF(AND(Tasks[[#This Row],[_IsLeaf]]=1,Tasks[[#This Row],[_LeafProgress]]&lt;1,OR(N(Tasks[[#This Row],[Finish Var]])&gt;0,Tasks[[#This Row],[Status]]="Late Start")),MAX(0,Tasks[[#This Row],[Finish Var]])+1-Tasks[[#This Row],[_Row]]/1000000,"")</f>
        <v/>
      </c>
      <c r="GF187" s="42" t="str">
        <f aca="false">IF(AND(Tasks[[#This Row],[_IsLeaf]]=1,N(Tasks[[#This Row],[Actual Start]])=0,Tasks[[#This Row],[_ShownFcstStart]]&gt;=StatusDate,Tasks[[#This Row],[_ShownFcstStart]]&lt;=LookaheadEnd),Tasks[[#This Row],[_ShownFcstStart]]+Tasks[[#This Row],[_Row]]/100000,"")</f>
        <v/>
      </c>
      <c r="GG187" s="42" t="str">
        <f aca="false">IF(AND(Tasks[[#This Row],[_IsLeaf]]=1,Tasks[[#This Row],[_LeafProgress]]&lt;1,Tasks[[#This Row],[_ShownFcstFinish]]&gt;=StatusDate,Tasks[[#This Row],[_ShownFcstFinish]]&lt;=LookaheadEnd),Tasks[[#This Row],[_ShownFcstFinish]]+Tasks[[#This Row],[_Row]]/100000,"")</f>
        <v/>
      </c>
      <c r="GH187" s="42" t="str">
        <f aca="false">IF(Tasks[[#This Row],[_LeafCritical]],Tasks[[#This Row],[_ShownFcstStart]]+Tasks[[#This Row],[_Row]]/100000,"")</f>
        <v/>
      </c>
      <c r="GI187" s="42" t="n">
        <f aca="false">Tasks[[#This Row],[_LeafWork]]*Tasks[[#This Row],[_LeafProgress]]</f>
        <v>0</v>
      </c>
      <c r="GJ187" s="89" t="str">
        <f aca="false">IF(AND(Tasks[[#This Row],[_IsLeaf]]=1,Tasks[[#This Row],[_LeafProgress]]&gt;=1),IF(N(Tasks[[#This Row],[Actual Finish]])&gt;0,Tasks[[#This Row],[Actual Finish]],Tasks[[#This Row],[_ShownFcstFinish]]),"")</f>
        <v/>
      </c>
      <c r="GK187" s="42" t="n">
        <f aca="false">IF(Tasks[[#This Row],[_IsLeaf]]=1,N(Tasks[[#This Row],[Story Points]]),0)</f>
        <v>0</v>
      </c>
      <c r="GL187" s="42" t="str">
        <f aca="false">""</f>
        <v/>
      </c>
      <c r="GM187" s="88" t="b">
        <f aca="false">IF(Tasks[[#This Row],[Task Name]]="",FALSE(),AND(Tasks[[#This Row],[_IsLeaf]]=1,N(Tasks[[#This Row],[_Days]])=0))</f>
        <v>0</v>
      </c>
      <c r="GN187" s="89" t="n">
        <f aca="false">IF(Tasks[[#This Row],[Task Name]]="",0,IF(AND(Tasks[[#This Row],[_IsLeaf]]=1,NOT(Tasks[[#This Row],[_IsMilestone]]),N(Tasks[[#This Row],[Progress]])&gt;0),Tasks[[#This Row],[Start]],0))</f>
        <v>0</v>
      </c>
      <c r="GO187" s="89" t="n">
        <f aca="false">IF(Tasks[[#This Row],[_DoneFrom]]=0,0,IF(Tasks[[#This Row],[Progress]]&gt;=1,Tasks[[#This Row],[Finish]],MAX(Tasks[[#This Row],[_DoneFrom]],Tasks[[#This Row],[Start]]+ROUND((Tasks[[#This Row],[Finish]]-Tasks[[#This Row],[Start]]+1)*Tasks[[#This Row],[Progress]],0)-1)))</f>
        <v>0</v>
      </c>
      <c r="GP187" s="89" t="n">
        <f aca="false">IF(Tasks[[#This Row],[Task Name]]="",0,IF(OR(NOT(Tasks[[#This Row],[_IsLeaf]]=1),Tasks[[#This Row],[_IsMilestone]],N(Tasks[[#This Row],[Progress]])&gt;=1),0,IF(Tasks[[#This Row],[_DoneTo]]&gt;0,Tasks[[#This Row],[_DoneTo]]+1,Tasks[[#This Row],[Start]])))</f>
        <v>0</v>
      </c>
      <c r="GQ187" s="89" t="n">
        <f aca="false">IF(Tasks[[#This Row],[_RemFrom]]=0,0,Tasks[[#This Row],[Finish]])</f>
        <v>0</v>
      </c>
      <c r="GR187" s="88" t="b">
        <f aca="false">IF(Tasks[[#This Row],[Task Name]]="",FALSE(),OR(NOT(BaselineSet),N(Tasks[[#This Row],[Baseline Start]])&gt;0))</f>
        <v>0</v>
      </c>
      <c r="GS1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7" s="90" t="str">
        <f aca="false">IF(Tasks[[#This Row],[_IsLeaf]]=1,Tasks[[#This Row],[_Row]],"")</f>
        <v/>
      </c>
      <c r="GW187" s="90" t="str">
        <f aca="false">IFERROR(INDEX(Tasks[UID],SMALL(Tasks[_PickKey],Tasks[[#This Row],[_Row]]))&amp;" "&amp;INDEX(Tasks[Task Name],SMALL(Tasks[_PickKey],Tasks[[#This Row],[_Row]])),"")</f>
        <v/>
      </c>
      <c r="GX187" s="42" t="str">
        <f aca="false">IF(Tasks[[#This Row],[Task Name]]="","",IF(Tasks[[#This Row],[_IsSummary]],NETWORKDAYS.INTL(Tasks[[#This Row],[Start]],Tasks[[#This Row],[Finish]],WorkWeek,Holidays),N(Tasks[[#This Row],[_Days]])))</f>
        <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3"/>
      <c r="U188" s="23"/>
      <c r="V188" s="83"/>
      <c r="W188" s="23"/>
      <c r="X188" s="83"/>
      <c r="Y188" s="23"/>
      <c r="Z188" s="83"/>
      <c r="AA188" s="23"/>
      <c r="AB188" s="23"/>
      <c r="AC188" s="7"/>
      <c r="AD188" s="7"/>
      <c r="AE188" s="62" t="str">
        <f aca="false">IF(Tasks[[#This Row],[Task Name]]="","",IF(Tasks[[#This Row],[_IsSummary]],MIN(INDEX(Tasks[_ShownFcstStart],Tasks[[#This Row],[_Row]]+1):INDEX(Tasks[_ShownFcstStart],Tasks[[#This Row],[_Row]]+Tasks[[#This Row],[_Descendants]])),Tasks[[#This Row],[_ShownFcstStart]]))</f>
        <v/>
      </c>
      <c r="AF188" s="62"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8" s="7"/>
      <c r="AK188" s="22"/>
      <c r="AL188" s="23"/>
      <c r="AM188" s="7"/>
      <c r="AN188" s="46"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2" t="str">
        <f aca="false">IF(Tasks[[#This Row],[Task Name]]="","",IF(N(Tasks[[#This Row],[Baseline Start]])&gt;0,Tasks[[#This Row],[Baseline Start]],Tasks[[#This Row],[_CalcStart]]))</f>
        <v/>
      </c>
      <c r="AR188" s="62" t="str">
        <f aca="false">IF(Tasks[[#This Row],[Task Name]]="","",IF(N(Tasks[[#This Row],[Baseline Finish]])&gt;0,Tasks[[#This Row],[Baseline Finish]],Tasks[[#This Row],[_CalcFinish]]))</f>
        <v/>
      </c>
      <c r="AS188" s="46" t="str">
        <f aca="false">IF(Tasks[[#This Row],[Task Name]]="","",IF(Tasks[[#This Row],[Start]]&gt;=Tasks[[#This Row],[Planned Start]],NETWORKDAYS.INTL(Tasks[[#This Row],[Planned Start]],Tasks[[#This Row],[Start]],WorkWeek,Holidays)-1,1-NETWORKDAYS.INTL(Tasks[[#This Row],[Start]],Tasks[[#This Row],[Planned Start]],WorkWeek,Holidays)))</f>
        <v/>
      </c>
      <c r="AT188" s="62" t="str">
        <f aca="false">IF(Tasks[[#This Row],[Task Name]]="","",IF(Tasks[[#This Row],[_IsSummary]],MIN(INDEX(Tasks[_LeafLateStart],Tasks[[#This Row],[_Row]]+1):INDEX(Tasks[_LeafLateStart],Tasks[[#This Row],[_Row]]+Tasks[[#This Row],[_Descendants]])),Tasks[[#This Row],[_LeafLateStart]]))</f>
        <v/>
      </c>
      <c r="AU188" s="62" t="str">
        <f aca="false">IF(Tasks[[#This Row],[Task Name]]="","",IF(Tasks[[#This Row],[_IsSummary]],MAX(INDEX(Tasks[_LeafLateFinish],Tasks[[#This Row],[_Row]]+1):INDEX(Tasks[_LeafLateFinish],Tasks[[#This Row],[_Row]]+Tasks[[#This Row],[_Descendants]])),Tasks[[#This Row],[_LeafLateFinish]]))</f>
        <v/>
      </c>
      <c r="AV188" s="46"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4"/>
      <c r="BA1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5"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6"/>
      <c r="BJ188" s="22"/>
      <c r="BK188" s="46" t="str">
        <f aca="false">IF(OR(Tasks[[#This Row],[Task Name]]="",Tasks[[#This Row],[Baseline Duration]]=""),"",Tasks[[#This Row],[_SpanDays]]-N(Tasks[[#This Row],[Baseline Duration]]))</f>
        <v/>
      </c>
      <c r="BL188" s="85" t="str">
        <f aca="false">IF(OR(Tasks[[#This Row],[Task Name]]="",Tasks[[#This Row],[Baseline Work]]=""),"",Tasks[[#This Row],[Work]]-N(Tasks[[#This Row],[Baseline Work]]))</f>
        <v/>
      </c>
      <c r="BM188" s="62" t="str">
        <f aca="false">IF(Tasks[[#This Row],[Task Name]]="","",IF(OR(TakeBaseline="Yes",N(Tasks[[#This Row],[Baseline Start]])=0),Tasks[[#This Row],[Start]],Tasks[[#This Row],[Baseline Start]]))</f>
        <v/>
      </c>
      <c r="BN188" s="62"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5" t="str">
        <f aca="false">IF(Tasks[[#This Row],[Task Name]]="","",IF(OR(TakeBaseline="Yes",N(Tasks[[#This Row],[Baseline Work]])=0),Tasks[[#This Row],[Work]],Tasks[[#This Row],[Baseline Work]]))</f>
        <v/>
      </c>
      <c r="BQ188" s="7"/>
      <c r="BR188" s="7"/>
      <c r="BS188" s="22"/>
      <c r="BT188" s="87"/>
      <c r="BU188" s="42" t="str">
        <f aca="false">IF(Tasks[[#This Row],[Task Name]]="","",MAX(1,N(Tasks[[#This Row],[Level]])))</f>
        <v/>
      </c>
      <c r="BV188" s="42" t="n">
        <f aca="false">ROW()-ROW(Tasks[[#Headers],[ID]])</f>
        <v>183</v>
      </c>
      <c r="BW188" s="42" t="n">
        <f aca="false">IF(OR(Tasks[[#This Row],[Task Name]]="",Tasks[[#This Row],[_Level]]&lt;=1),0,IFERROR(LOOKUP(2,1/(Tasks[[#Headers],[_Level]]:Tasks[[#This Row],[_Level]]=Tasks[[#This Row],[_Level]]-1),ROW(Tasks[[#Headers],[_Level]]:Tasks[[#This Row],[_Level]])),0))</f>
        <v>0</v>
      </c>
      <c r="BX188" s="42" t="n">
        <f aca="false">IFERROR(N(INDEX(Tasks[_Level],Tasks[[#This Row],[_Row]]+1)),0)</f>
        <v>0</v>
      </c>
      <c r="BY188" s="88" t="b">
        <f aca="false">AND(Tasks[[#This Row],[Task Name]]&lt;&gt;"",Tasks[[#This Row],[_NextLevel]]&gt;Tasks[[#This Row],[_Level]])</f>
        <v>0</v>
      </c>
      <c r="BZ188" s="42" t="n">
        <f aca="false">IF(Tasks[[#This Row],[_IsSummary]],COUNTIF(Tasks[WBS],Tasks[[#This Row],[WBS]]&amp;".*"),0)</f>
        <v>0</v>
      </c>
      <c r="CA188" s="42" t="n">
        <f aca="false">IF(AND(Tasks[[#This Row],[Task Name]]&lt;&gt;"",NOT(Tasks[[#This Row],[_IsSummary]])),1,0)</f>
        <v>0</v>
      </c>
      <c r="CB188" s="42" t="n">
        <f aca="false">IF(N(Tasks[[#This Row],[_Pred1UID]])=0,0,IFERROR(MATCH(Tasks[[#This Row],[_Pred1UID]],Tasks[UID],0),-1))</f>
        <v>0</v>
      </c>
      <c r="CC188" s="42" t="n">
        <f aca="false">IF(N(Tasks[[#This Row],[_Pred2UID]])=0,0,IFERROR(MATCH(Tasks[[#This Row],[_Pred2UID]],Tasks[UID],0),-1))</f>
        <v>0</v>
      </c>
      <c r="CD188" s="42" t="n">
        <f aca="false">IF(N(Tasks[[#This Row],[_Pred3UID]])=0,0,IFERROR(MATCH(Tasks[[#This Row],[_Pred3UID]],Tasks[UID],0),-1))</f>
        <v>0</v>
      </c>
      <c r="CE188" s="42" t="n">
        <f aca="false">IF(N(Tasks[[#This Row],[_Pred4UID]])=0,0,IFERROR(MATCH(Tasks[[#This Row],[_Pred4UID]],Tasks[UID],0),-1))</f>
        <v>0</v>
      </c>
      <c r="CF1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8" s="89" t="n">
        <f aca="false">IF(OR(Tasks[[#This Row],[_ConstraintCode]]=2,Tasks[[#This Row],[_ConstraintCode]]=3,Tasks[[#This Row],[_ConstraintCode]]=4,Tasks[[#This Row],[_ConstraintCode]]=6),Tasks[[#This Row],[_ConstraintStart]],0)</f>
        <v>0</v>
      </c>
      <c r="CI188" s="89" t="n">
        <f aca="false">IF(OR(Tasks[[#This Row],[_ConstraintCode]]=2,Tasks[[#This Row],[_ConstraintCode]]=3,Tasks[[#This Row],[_ConstraintCode]]=5,Tasks[[#This Row],[_ConstraintCode]]=7),Tasks[[#This Row],[_ConstraintStart]],2958465)</f>
        <v>2958465</v>
      </c>
      <c r="CJ1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8" s="89" t="str">
        <f aca="false">IF(NOT(Tasks[[#This Row],[_IsLeaf]]=1),"",IF(N(Tasks[[#This Row],[_Days]])&lt;=0,Tasks[[#This Row],[_LeafCalcStart]],WORKDAY.INTL(Tasks[[#This Row],[_LeafCalcStart]],Tasks[[#This Row],[_Days]]-1,WorkWeek,Holidays)))</f>
        <v/>
      </c>
      <c r="CL1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8" s="42" t="str">
        <f aca="false">IF(Tasks[[#This Row],[_Predecessors]]="","",TRIM(MID(SUBSTITUTE(SUBSTITUTE(SUBSTITUTE(UPPER(Tasks[[#This Row],[_Predecessors]]),";",",")," ",""),",",REPT(" ",99)),1,99)))</f>
        <v/>
      </c>
      <c r="CO188" s="42" t="str">
        <f aca="false">IF(Tasks[[#This Row],[_Pred1Text]]="","",IFERROR(VALUE(LEFT(Tasks[[#This Row],[_Pred1Text]],MIN(FIND("F",Tasks[[#This Row],[_Pred1Text]]&amp;"F"),FIND("S",Tasks[[#This Row],[_Pred1Text]]&amp;"S"),FIND("+",Tasks[[#This Row],[_Pred1Text]]&amp;"+"),FIND("-",Tasks[[#This Row],[_Pred1Text]]&amp;"-"))-1)),""))</f>
        <v/>
      </c>
      <c r="CP1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8" s="42" t="str">
        <f aca="false">IF(Tasks[[#This Row],[_Pred1Text]]="","",TRIM(MID(SUBSTITUTE(SUBSTITUTE(SUBSTITUTE(UPPER(Tasks[[#This Row],[_Predecessors]]),";",",")," ",""),",",REPT(" ",99)),100,99)))</f>
        <v/>
      </c>
      <c r="CS188" s="42" t="str">
        <f aca="false">IF(Tasks[[#This Row],[_Pred2Text]]="","",IFERROR(VALUE(LEFT(Tasks[[#This Row],[_Pred2Text]],MIN(FIND("F",Tasks[[#This Row],[_Pred2Text]]&amp;"F"),FIND("S",Tasks[[#This Row],[_Pred2Text]]&amp;"S"),FIND("+",Tasks[[#This Row],[_Pred2Text]]&amp;"+"),FIND("-",Tasks[[#This Row],[_Pred2Text]]&amp;"-"))-1)),""))</f>
        <v/>
      </c>
      <c r="CT1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8" s="42" t="str">
        <f aca="false">IF(Tasks[[#This Row],[_Pred2Text]]="","",TRIM(MID(SUBSTITUTE(SUBSTITUTE(SUBSTITUTE(UPPER(Tasks[[#This Row],[_Predecessors]]),";",",")," ",""),",",REPT(" ",99)),199,99)))</f>
        <v/>
      </c>
      <c r="CW188" s="42" t="str">
        <f aca="false">IF(Tasks[[#This Row],[_Pred3Text]]="","",IFERROR(VALUE(LEFT(Tasks[[#This Row],[_Pred3Text]],MIN(FIND("F",Tasks[[#This Row],[_Pred3Text]]&amp;"F"),FIND("S",Tasks[[#This Row],[_Pred3Text]]&amp;"S"),FIND("+",Tasks[[#This Row],[_Pred3Text]]&amp;"+"),FIND("-",Tasks[[#This Row],[_Pred3Text]]&amp;"-"))-1)),""))</f>
        <v/>
      </c>
      <c r="CX1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8" s="42" t="str">
        <f aca="false">IF(Tasks[[#This Row],[_Pred3Text]]="","",TRIM(MID(SUBSTITUTE(SUBSTITUTE(SUBSTITUTE(UPPER(Tasks[[#This Row],[_Predecessors]]),";",",")," ",""),",",REPT(" ",99)),298,99)))</f>
        <v/>
      </c>
      <c r="DA188" s="42" t="str">
        <f aca="false">IF(Tasks[[#This Row],[_Pred4Text]]="","",IFERROR(VALUE(LEFT(Tasks[[#This Row],[_Pred4Text]],MIN(FIND("F",Tasks[[#This Row],[_Pred4Text]]&amp;"F"),FIND("S",Tasks[[#This Row],[_Pred4Text]]&amp;"S"),FIND("+",Tasks[[#This Row],[_Pred4Text]]&amp;"+"),FIND("-",Tasks[[#This Row],[_Pred4Text]]&amp;"-"))-1)),""))</f>
        <v/>
      </c>
      <c r="DB1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8" s="42" t="str">
        <f aca="false">IF(OR(Tasks[[#This Row],[Task Name]]="",Tasks[[#This Row],[_Resources]]=""),"",TRIM(MID(SUBSTITUTE(Tasks[[#This Row],[_Resources]],",",REPT(" ",99)),1,99)))</f>
        <v/>
      </c>
      <c r="DE188" s="42" t="str">
        <f aca="false">IF(Tasks[[#This Row],[_Res1Text]]="","",TRIM(MID(SUBSTITUTE(Tasks[[#This Row],[_Resources]],",",REPT(" ",99)),100,99)))</f>
        <v/>
      </c>
      <c r="DF188" s="42" t="str">
        <f aca="false">IF(Tasks[[#This Row],[_Res2Text]]="","",TRIM(MID(SUBSTITUTE(Tasks[[#This Row],[_Resources]],",",REPT(" ",99)),199,99)))</f>
        <v/>
      </c>
      <c r="DG188" s="42" t="str">
        <f aca="false">IF(Tasks[[#This Row],[_Res3Text]]="","",TRIM(MID(SUBSTITUTE(Tasks[[#This Row],[_Resources]],",",REPT(" ",99)),298,99)))</f>
        <v/>
      </c>
      <c r="DH188" s="42" t="n">
        <f aca="false">IF(Tasks[[#This Row],[_Res1Text]]="",0,IFERROR(MATCH(TRIM(LEFT(Tasks[[#This Row],[_Res1Text]],FIND("[",Tasks[[#This Row],[_Res1Text]]&amp;"[")-1)),res_Name,0),IFERROR(MATCH(TRIM(LEFT(Tasks[[#This Row],[_Res1Text]],FIND("[",Tasks[[#This Row],[_Res1Text]]&amp;"[")-1)),res_Initials,0),0)))</f>
        <v>0</v>
      </c>
      <c r="DI188" s="42" t="n">
        <f aca="false">IF(Tasks[[#This Row],[_Res2Text]]="",0,IFERROR(MATCH(TRIM(LEFT(Tasks[[#This Row],[_Res2Text]],FIND("[",Tasks[[#This Row],[_Res2Text]]&amp;"[")-1)),res_Name,0),IFERROR(MATCH(TRIM(LEFT(Tasks[[#This Row],[_Res2Text]],FIND("[",Tasks[[#This Row],[_Res2Text]]&amp;"[")-1)),res_Initials,0),0)))</f>
        <v>0</v>
      </c>
      <c r="DJ188" s="42" t="n">
        <f aca="false">IF(Tasks[[#This Row],[_Res3Text]]="",0,IFERROR(MATCH(TRIM(LEFT(Tasks[[#This Row],[_Res3Text]],FIND("[",Tasks[[#This Row],[_Res3Text]]&amp;"[")-1)),res_Name,0),IFERROR(MATCH(TRIM(LEFT(Tasks[[#This Row],[_Res3Text]],FIND("[",Tasks[[#This Row],[_Res3Text]]&amp;"[")-1)),res_Initials,0),0)))</f>
        <v>0</v>
      </c>
      <c r="DK188" s="42" t="n">
        <f aca="false">IF(Tasks[[#This Row],[_Res4Text]]="",0,IFERROR(MATCH(TRIM(LEFT(Tasks[[#This Row],[_Res4Text]],FIND("[",Tasks[[#This Row],[_Res4Text]]&amp;"[")-1)),res_Name,0),IFERROR(MATCH(TRIM(LEFT(Tasks[[#This Row],[_Res4Text]],FIND("[",Tasks[[#This Row],[_Res4Text]]&amp;"[")-1)),res_Initials,0),0)))</f>
        <v>0</v>
      </c>
      <c r="DL188" s="42" t="str">
        <f aca="false">IF(Tasks[[#This Row],[_Res1Text]]="","",IF(Tasks[[#This Row],[_Res1Row]]&gt;0,INDEX(res_Name,Tasks[[#This Row],[_Res1Row]]),TRIM(LEFT(Tasks[[#This Row],[_Res1Text]],FIND("[",Tasks[[#This Row],[_Res1Text]]&amp;"[")-1))))</f>
        <v/>
      </c>
      <c r="DM1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8" s="42" t="n">
        <f aca="false">IF(NOT(Tasks[[#This Row],[_IsLeaf]]=1),0,(Tasks[[#This Row],[_Resource1]]&lt;&gt;"")+(Tasks[[#This Row],[_Res2]]&lt;&gt;"")+(Tasks[[#This Row],[_Res3]]&lt;&gt;"")+(Tasks[[#This Row],[_Res4]]&lt;&gt;""))</f>
        <v>0</v>
      </c>
      <c r="DO188" s="42" t="str">
        <f aca="false">IF(Tasks[[#This Row],[_Res2Text]]="","",IF(Tasks[[#This Row],[_Res2Row]]&gt;0,INDEX(res_Name,Tasks[[#This Row],[_Res2Row]]),TRIM(LEFT(Tasks[[#This Row],[_Res2Text]],FIND("[",Tasks[[#This Row],[_Res2Text]]&amp;"[")-1))))</f>
        <v/>
      </c>
      <c r="DP1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8" s="42" t="n">
        <f aca="false">IF(OR(NOT(Tasks[[#This Row],[_IsLeaf]]=1),Tasks[[#This Row],[_Res2Row]]=0),0,N(Tasks[[#This Row],[_Days]])*HoursPerDay*IF(Tasks[[#This Row],[_Res2Units]]="",DefaultUnits,Tasks[[#This Row],[_Res2Units]]))</f>
        <v>0</v>
      </c>
      <c r="DR188" s="42" t="n">
        <f aca="false">IF(AND(AND(Tasks[[#This Row],[_IsLeaf]]=1,Tasks[[#This Row],[_LeafTotalWork]]&gt;0),Tasks[[#This Row],[_Res2Work]]&gt;0),Tasks[[#This Row],[_Res2Work]]/(Tasks[[#This Row],[_FinishWorkday]]-Tasks[[#This Row],[_StartWorkday]]+1),0)</f>
        <v>0</v>
      </c>
      <c r="DS188" s="42" t="n">
        <f aca="false">Tasks[[#This Row],[_Res2WorkPerWD]]*MAX(0,Tasks[[#This Row],[_StartWorkday]]-1)</f>
        <v>0</v>
      </c>
      <c r="DT188" s="42" t="n">
        <f aca="false">Tasks[[#This Row],[_Res2Work]]*Tasks[[#This Row],[_LeafProgress]]</f>
        <v>0</v>
      </c>
      <c r="DU188" s="42" t="str">
        <f aca="false">IF(Tasks[[#This Row],[_Res3Text]]="","",IF(Tasks[[#This Row],[_Res3Row]]&gt;0,INDEX(res_Name,Tasks[[#This Row],[_Res3Row]]),TRIM(LEFT(Tasks[[#This Row],[_Res3Text]],FIND("[",Tasks[[#This Row],[_Res3Text]]&amp;"[")-1))))</f>
        <v/>
      </c>
      <c r="DV1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8" s="42" t="n">
        <f aca="false">IF(OR(NOT(Tasks[[#This Row],[_IsLeaf]]=1),Tasks[[#This Row],[_Res3Row]]=0),0,N(Tasks[[#This Row],[_Days]])*HoursPerDay*IF(Tasks[[#This Row],[_Res3Units]]="",DefaultUnits,Tasks[[#This Row],[_Res3Units]]))</f>
        <v>0</v>
      </c>
      <c r="DX188" s="42" t="n">
        <f aca="false">IF(AND(AND(Tasks[[#This Row],[_IsLeaf]]=1,Tasks[[#This Row],[_LeafTotalWork]]&gt;0),Tasks[[#This Row],[_Res3Work]]&gt;0),Tasks[[#This Row],[_Res3Work]]/(Tasks[[#This Row],[_FinishWorkday]]-Tasks[[#This Row],[_StartWorkday]]+1),0)</f>
        <v>0</v>
      </c>
      <c r="DY188" s="42" t="n">
        <f aca="false">Tasks[[#This Row],[_Res3WorkPerWD]]*MAX(0,Tasks[[#This Row],[_StartWorkday]]-1)</f>
        <v>0</v>
      </c>
      <c r="DZ188" s="42" t="n">
        <f aca="false">Tasks[[#This Row],[_Res3Work]]*Tasks[[#This Row],[_LeafProgress]]</f>
        <v>0</v>
      </c>
      <c r="EA188" s="42" t="str">
        <f aca="false">IF(Tasks[[#This Row],[_Res4Text]]="","",IF(Tasks[[#This Row],[_Res4Row]]&gt;0,INDEX(res_Name,Tasks[[#This Row],[_Res4Row]]),TRIM(LEFT(Tasks[[#This Row],[_Res4Text]],FIND("[",Tasks[[#This Row],[_Res4Text]]&amp;"[")-1))))</f>
        <v/>
      </c>
      <c r="EB1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8" s="42" t="n">
        <f aca="false">IF(OR(NOT(Tasks[[#This Row],[_IsLeaf]]=1),Tasks[[#This Row],[_Res4Row]]=0),0,N(Tasks[[#This Row],[_Days]])*HoursPerDay*IF(Tasks[[#This Row],[_Res4Units]]="",DefaultUnits,Tasks[[#This Row],[_Res4Units]]))</f>
        <v>0</v>
      </c>
      <c r="ED188" s="42" t="n">
        <f aca="false">IF(AND(AND(Tasks[[#This Row],[_IsLeaf]]=1,Tasks[[#This Row],[_LeafTotalWork]]&gt;0),Tasks[[#This Row],[_Res4Work]]&gt;0),Tasks[[#This Row],[_Res4Work]]/(Tasks[[#This Row],[_FinishWorkday]]-Tasks[[#This Row],[_StartWorkday]]+1),0)</f>
        <v>0</v>
      </c>
      <c r="EE188" s="42" t="n">
        <f aca="false">Tasks[[#This Row],[_Res4WorkPerWD]]*MAX(0,Tasks[[#This Row],[_StartWorkday]]-1)</f>
        <v>0</v>
      </c>
      <c r="EF188" s="42" t="n">
        <f aca="false">Tasks[[#This Row],[_Res4Work]]*Tasks[[#This Row],[_LeafProgress]]</f>
        <v>0</v>
      </c>
      <c r="EG188" s="42" t="n">
        <f aca="false">IF(ISNUMBER(Tasks[[#This Row],[% Complete]]),Tasks[[#This Row],[% Complete]],IF(Tasks[[#This Row],[Stage]]="",0,IFERROR(INDEX(stg_Pct,MATCH(Tasks[[#This Row],[Stage]],stg_Name,0)),0)))</f>
        <v>0</v>
      </c>
      <c r="EH188" s="42" t="n">
        <f aca="false">IF(NOT(Tasks[[#This Row],[_IsLeaf]]=1),0,IF(N(Tasks[[#This Row],[Actual Finish]])&gt;0,1,MIN(1,Tasks[[#This Row],[_Pct]])))</f>
        <v>0</v>
      </c>
      <c r="EI188" s="42" t="n">
        <f aca="false">IF(OR(NOT(Tasks[[#This Row],[_IsLeaf]]=1),Tasks[[#This Row],[_Res1Row]]=0),0,N(Tasks[[#This Row],[_Days]])*HoursPerDay*IF(Tasks[[#This Row],[_Units1]]="",DefaultUnits,Tasks[[#This Row],[_Units1]]))</f>
        <v>0</v>
      </c>
      <c r="EJ188" s="42" t="n">
        <f aca="false">Tasks[[#This Row],[_LeafWork]]+Tasks[[#This Row],[_Res2Work]]+Tasks[[#This Row],[_Res3Work]]+Tasks[[#This Row],[_Res4Work]]</f>
        <v>0</v>
      </c>
      <c r="EK1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8" s="42" t="n">
        <f aca="false">IF(NOT(Tasks[[#This Row],[_IsLeaf]]=1),0,MAX(_xlfn.MAXIFS(Tasks[_Row],Tasks[_Pred1UID],Tasks[[#This Row],[UID]]),_xlfn.MAXIFS(Tasks[_Row],Tasks[_Pred2UID],Tasks[[#This Row],[UID]]),_xlfn.MAXIFS(Tasks[_Row],Tasks[_Pred3UID],Tasks[[#This Row],[UID]]),_xlfn.MAXIFS(Tasks[_Row],Tasks[_Pred4UID],Tasks[[#This Row],[UID]])))</f>
        <v>0</v>
      </c>
      <c r="ET1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8" s="89" t="str">
        <f aca="false">IF(NOT(Tasks[[#This Row],[_IsLeaf]]=1),"",IF(N(Tasks[[#This Row],[_Days]])&lt;=0,Tasks[[#This Row],[_LeafLateFinish]],WORKDAY.INTL(Tasks[[#This Row],[_LeafLateFinish]],-(Tasks[[#This Row],[_Days]]-1),WorkWeek,Holidays)))</f>
        <v/>
      </c>
      <c r="EW1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8" s="88" t="b">
        <f aca="false">AND(Tasks[[#This Row],[_IsLeaf]]=1,Tasks[[#This Row],[_LeafProgress]]&lt;1,N(Tasks[[#This Row],[_LeafTotalSlack]])&lt;=CriticalSlackDays)</f>
        <v>0</v>
      </c>
      <c r="EY188" s="42" t="n">
        <f aca="false">IF(AND(Tasks[[#This Row],[_IsLeaf]]=1,Tasks[[#This Row],[_ConstraintCode]]=1,Tasks[[#This Row],[Mode]]&lt;&gt;"Manual",N(Tasks[[#This Row],[Actual Start]])=0),MAX(0,N(Tasks[[#This Row],[Free Slack]])),0)</f>
        <v>0</v>
      </c>
      <c r="EZ188" s="89" t="str">
        <f aca="false">IF(NOT(Tasks[[#This Row],[_IsLeaf]]=1),"",IF(Tasks[[#This Row],[_AlapShift]]=0,Tasks[[#This Row],[_LeafCalcStart]],WORKDAY.INTL(Tasks[[#This Row],[_LeafCalcStart]],Tasks[[#This Row],[_AlapShift]],WorkWeek,Holidays)))</f>
        <v/>
      </c>
      <c r="FA188" s="89" t="str">
        <f aca="false">IF(NOT(Tasks[[#This Row],[_IsLeaf]]=1),"",IF(Tasks[[#This Row],[_AlapShift]]=0,Tasks[[#This Row],[_LeafCalcFinish]],WORKDAY.INTL(Tasks[[#This Row],[_LeafCalcFinish]],Tasks[[#This Row],[_AlapShift]],WorkWeek,Holidays)))</f>
        <v/>
      </c>
      <c r="FB188" s="89" t="str">
        <f aca="false">IF(NOT(Tasks[[#This Row],[_IsLeaf]]=1),"",IF(Tasks[[#This Row],[_AlapShift]]=0,Tasks[[#This Row],[_LeafFcstStart]],WORKDAY.INTL(Tasks[[#This Row],[_LeafFcstStart]],Tasks[[#This Row],[_AlapShift]],WorkWeek,Holidays)))</f>
        <v/>
      </c>
      <c r="FC188" s="89" t="str">
        <f aca="false">IF(NOT(Tasks[[#This Row],[_IsLeaf]]=1),"",IF(Tasks[[#This Row],[_AlapShift]]=0,Tasks[[#This Row],[_LeafFcstFinish]],WORKDAY.INTL(Tasks[[#This Row],[_LeafFcstFinish]],Tasks[[#This Row],[_AlapShift]],WorkWeek,Holidays)))</f>
        <v/>
      </c>
      <c r="FD188" s="89" t="str">
        <f aca="false">IF(Tasks[[#This Row],[Task Name]]="","",IF(Tasks[[#This Row],[_IsSummary]],MIN(INDEX(Tasks[_ShownCalcStart],Tasks[[#This Row],[_Row]]+1):INDEX(Tasks[_ShownCalcStart],Tasks[[#This Row],[_Row]]+Tasks[[#This Row],[_Descendants]])),Tasks[[#This Row],[_ShownCalcStart]]))</f>
        <v/>
      </c>
      <c r="FE188" s="89" t="str">
        <f aca="false">IF(Tasks[[#This Row],[Task Name]]="","",IF(Tasks[[#This Row],[_IsSummary]],MAX(INDEX(Tasks[_ShownCalcFinish],Tasks[[#This Row],[_Row]]+1):INDEX(Tasks[_ShownCalcFinish],Tasks[[#This Row],[_Row]]+Tasks[[#This Row],[_Descendants]])),Tasks[[#This Row],[_ShownCalcFinish]]))</f>
        <v/>
      </c>
      <c r="FF1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8" s="42" t="n">
        <f aca="false">IF(AND(Tasks[[#This Row],[_IsLeaf]]=1,Tasks[[#This Row],[_LeafTotalWork]]&gt;0),NETWORKDAYS.INTL(ProjectStart,Tasks[[#This Row],[_ShownFcstStart]],WorkWeek,Holidays),0)</f>
        <v>0</v>
      </c>
      <c r="FS188" s="42" t="n">
        <f aca="false">IF(AND(Tasks[[#This Row],[_IsLeaf]]=1,Tasks[[#This Row],[_LeafTotalWork]]&gt;0),MAX(Tasks[[#This Row],[_StartWorkday]],NETWORKDAYS.INTL(ProjectStart,Tasks[[#This Row],[_ShownFcstFinish]],WorkWeek,Holidays)),0)</f>
        <v>0</v>
      </c>
      <c r="FT188" s="42" t="n">
        <f aca="false">IF(AND(Tasks[[#This Row],[_IsLeaf]]=1,Tasks[[#This Row],[_LeafTotalWork]]&gt;0),Tasks[[#This Row],[_LeafWork]]/(Tasks[[#This Row],[_FinishWorkday]]-Tasks[[#This Row],[_StartWorkday]]+1),0)</f>
        <v>0</v>
      </c>
      <c r="FU188" s="42" t="n">
        <f aca="false">Tasks[[#This Row],[_WorkPerWorkday]]*(Tasks[[#This Row],[_StartWorkday]]-1)</f>
        <v>-0</v>
      </c>
      <c r="FV188" s="42" t="n">
        <f aca="false">IF(Tasks[[#This Row],[_IsLeaf]]=1,MAX(N(Tasks[[#This Row],[_Days]]),0.1),0)</f>
        <v>0</v>
      </c>
      <c r="FW188" s="42" t="n">
        <f aca="false">Tasks[[#This Row],[_WeightDur]]*Tasks[[#This Row],[_LeafProgress]]</f>
        <v>0</v>
      </c>
      <c r="FX188" s="42" t="n">
        <f aca="false">Tasks[[#This Row],[_WeightDur]]*Tasks[[#This Row],[_PlannedPct]]</f>
        <v>0</v>
      </c>
      <c r="FY1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8" s="42" t="str">
        <f aca="false">IF(AND(Tasks[[#This Row],[_IsLeaf]]=1,N(Tasks[[#This Row],[_Days]])=0,Tasks[[#This Row],[_LeafProgress]]&lt;1),Tasks[[#This Row],[_ShownFcstFinish]]+Tasks[[#This Row],[_Row]]/100000,"")</f>
        <v/>
      </c>
      <c r="GA1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8" s="42" t="str">
        <f aca="false">IF(Tasks[[#This Row],[Task Name]]="","",LEFT(Tasks[[#This Row],[WBS]],FIND(".",Tasks[[#This Row],[WBS]]&amp;".")-1))</f>
        <v/>
      </c>
      <c r="GC188" s="42" t="str">
        <f aca="false">IF(AND(Tasks[[#This Row],[Task Name]]&lt;&gt;"",Tasks[[#This Row],[_Level]]=1),Tasks[[#This Row],[_Row]],"")</f>
        <v/>
      </c>
      <c r="GD188" s="42" t="str">
        <f aca="false">IF(AND(Tasks[[#This Row],[_IsLeaf]]=1,N(Tasks[[#This Row],[_Days]])=0),Tasks[[#This Row],[Planned Finish]]+Tasks[[#This Row],[_Row]]/100000,"")</f>
        <v/>
      </c>
      <c r="GE188" s="42" t="str">
        <f aca="false">IF(AND(Tasks[[#This Row],[_IsLeaf]]=1,Tasks[[#This Row],[_LeafProgress]]&lt;1,OR(N(Tasks[[#This Row],[Finish Var]])&gt;0,Tasks[[#This Row],[Status]]="Late Start")),MAX(0,Tasks[[#This Row],[Finish Var]])+1-Tasks[[#This Row],[_Row]]/1000000,"")</f>
        <v/>
      </c>
      <c r="GF188" s="42" t="str">
        <f aca="false">IF(AND(Tasks[[#This Row],[_IsLeaf]]=1,N(Tasks[[#This Row],[Actual Start]])=0,Tasks[[#This Row],[_ShownFcstStart]]&gt;=StatusDate,Tasks[[#This Row],[_ShownFcstStart]]&lt;=LookaheadEnd),Tasks[[#This Row],[_ShownFcstStart]]+Tasks[[#This Row],[_Row]]/100000,"")</f>
        <v/>
      </c>
      <c r="GG188" s="42" t="str">
        <f aca="false">IF(AND(Tasks[[#This Row],[_IsLeaf]]=1,Tasks[[#This Row],[_LeafProgress]]&lt;1,Tasks[[#This Row],[_ShownFcstFinish]]&gt;=StatusDate,Tasks[[#This Row],[_ShownFcstFinish]]&lt;=LookaheadEnd),Tasks[[#This Row],[_ShownFcstFinish]]+Tasks[[#This Row],[_Row]]/100000,"")</f>
        <v/>
      </c>
      <c r="GH188" s="42" t="str">
        <f aca="false">IF(Tasks[[#This Row],[_LeafCritical]],Tasks[[#This Row],[_ShownFcstStart]]+Tasks[[#This Row],[_Row]]/100000,"")</f>
        <v/>
      </c>
      <c r="GI188" s="42" t="n">
        <f aca="false">Tasks[[#This Row],[_LeafWork]]*Tasks[[#This Row],[_LeafProgress]]</f>
        <v>0</v>
      </c>
      <c r="GJ188" s="89" t="str">
        <f aca="false">IF(AND(Tasks[[#This Row],[_IsLeaf]]=1,Tasks[[#This Row],[_LeafProgress]]&gt;=1),IF(N(Tasks[[#This Row],[Actual Finish]])&gt;0,Tasks[[#This Row],[Actual Finish]],Tasks[[#This Row],[_ShownFcstFinish]]),"")</f>
        <v/>
      </c>
      <c r="GK188" s="42" t="n">
        <f aca="false">IF(Tasks[[#This Row],[_IsLeaf]]=1,N(Tasks[[#This Row],[Story Points]]),0)</f>
        <v>0</v>
      </c>
      <c r="GL188" s="42" t="str">
        <f aca="false">""</f>
        <v/>
      </c>
      <c r="GM188" s="88" t="b">
        <f aca="false">IF(Tasks[[#This Row],[Task Name]]="",FALSE(),AND(Tasks[[#This Row],[_IsLeaf]]=1,N(Tasks[[#This Row],[_Days]])=0))</f>
        <v>0</v>
      </c>
      <c r="GN188" s="89" t="n">
        <f aca="false">IF(Tasks[[#This Row],[Task Name]]="",0,IF(AND(Tasks[[#This Row],[_IsLeaf]]=1,NOT(Tasks[[#This Row],[_IsMilestone]]),N(Tasks[[#This Row],[Progress]])&gt;0),Tasks[[#This Row],[Start]],0))</f>
        <v>0</v>
      </c>
      <c r="GO188" s="89" t="n">
        <f aca="false">IF(Tasks[[#This Row],[_DoneFrom]]=0,0,IF(Tasks[[#This Row],[Progress]]&gt;=1,Tasks[[#This Row],[Finish]],MAX(Tasks[[#This Row],[_DoneFrom]],Tasks[[#This Row],[Start]]+ROUND((Tasks[[#This Row],[Finish]]-Tasks[[#This Row],[Start]]+1)*Tasks[[#This Row],[Progress]],0)-1)))</f>
        <v>0</v>
      </c>
      <c r="GP188" s="89" t="n">
        <f aca="false">IF(Tasks[[#This Row],[Task Name]]="",0,IF(OR(NOT(Tasks[[#This Row],[_IsLeaf]]=1),Tasks[[#This Row],[_IsMilestone]],N(Tasks[[#This Row],[Progress]])&gt;=1),0,IF(Tasks[[#This Row],[_DoneTo]]&gt;0,Tasks[[#This Row],[_DoneTo]]+1,Tasks[[#This Row],[Start]])))</f>
        <v>0</v>
      </c>
      <c r="GQ188" s="89" t="n">
        <f aca="false">IF(Tasks[[#This Row],[_RemFrom]]=0,0,Tasks[[#This Row],[Finish]])</f>
        <v>0</v>
      </c>
      <c r="GR188" s="88" t="b">
        <f aca="false">IF(Tasks[[#This Row],[Task Name]]="",FALSE(),OR(NOT(BaselineSet),N(Tasks[[#This Row],[Baseline Start]])&gt;0))</f>
        <v>0</v>
      </c>
      <c r="GS1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8" s="90" t="str">
        <f aca="false">IF(Tasks[[#This Row],[_IsLeaf]]=1,Tasks[[#This Row],[_Row]],"")</f>
        <v/>
      </c>
      <c r="GW188" s="90" t="str">
        <f aca="false">IFERROR(INDEX(Tasks[UID],SMALL(Tasks[_PickKey],Tasks[[#This Row],[_Row]]))&amp;" "&amp;INDEX(Tasks[Task Name],SMALL(Tasks[_PickKey],Tasks[[#This Row],[_Row]])),"")</f>
        <v/>
      </c>
      <c r="GX188" s="42" t="str">
        <f aca="false">IF(Tasks[[#This Row],[Task Name]]="","",IF(Tasks[[#This Row],[_IsSummary]],NETWORKDAYS.INTL(Tasks[[#This Row],[Start]],Tasks[[#This Row],[Finish]],WorkWeek,Holidays),N(Tasks[[#This Row],[_Days]])))</f>
        <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3"/>
      <c r="U189" s="23"/>
      <c r="V189" s="83"/>
      <c r="W189" s="23"/>
      <c r="X189" s="83"/>
      <c r="Y189" s="23"/>
      <c r="Z189" s="83"/>
      <c r="AA189" s="23"/>
      <c r="AB189" s="23"/>
      <c r="AC189" s="7"/>
      <c r="AD189" s="7"/>
      <c r="AE189" s="62" t="str">
        <f aca="false">IF(Tasks[[#This Row],[Task Name]]="","",IF(Tasks[[#This Row],[_IsSummary]],MIN(INDEX(Tasks[_ShownFcstStart],Tasks[[#This Row],[_Row]]+1):INDEX(Tasks[_ShownFcstStart],Tasks[[#This Row],[_Row]]+Tasks[[#This Row],[_Descendants]])),Tasks[[#This Row],[_ShownFcstStart]]))</f>
        <v/>
      </c>
      <c r="AF189" s="62"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9" s="7"/>
      <c r="AK189" s="22"/>
      <c r="AL189" s="23"/>
      <c r="AM189" s="7"/>
      <c r="AN189" s="46"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2" t="str">
        <f aca="false">IF(Tasks[[#This Row],[Task Name]]="","",IF(N(Tasks[[#This Row],[Baseline Start]])&gt;0,Tasks[[#This Row],[Baseline Start]],Tasks[[#This Row],[_CalcStart]]))</f>
        <v/>
      </c>
      <c r="AR189" s="62" t="str">
        <f aca="false">IF(Tasks[[#This Row],[Task Name]]="","",IF(N(Tasks[[#This Row],[Baseline Finish]])&gt;0,Tasks[[#This Row],[Baseline Finish]],Tasks[[#This Row],[_CalcFinish]]))</f>
        <v/>
      </c>
      <c r="AS189" s="46" t="str">
        <f aca="false">IF(Tasks[[#This Row],[Task Name]]="","",IF(Tasks[[#This Row],[Start]]&gt;=Tasks[[#This Row],[Planned Start]],NETWORKDAYS.INTL(Tasks[[#This Row],[Planned Start]],Tasks[[#This Row],[Start]],WorkWeek,Holidays)-1,1-NETWORKDAYS.INTL(Tasks[[#This Row],[Start]],Tasks[[#This Row],[Planned Start]],WorkWeek,Holidays)))</f>
        <v/>
      </c>
      <c r="AT189" s="62" t="str">
        <f aca="false">IF(Tasks[[#This Row],[Task Name]]="","",IF(Tasks[[#This Row],[_IsSummary]],MIN(INDEX(Tasks[_LeafLateStart],Tasks[[#This Row],[_Row]]+1):INDEX(Tasks[_LeafLateStart],Tasks[[#This Row],[_Row]]+Tasks[[#This Row],[_Descendants]])),Tasks[[#This Row],[_LeafLateStart]]))</f>
        <v/>
      </c>
      <c r="AU189" s="62" t="str">
        <f aca="false">IF(Tasks[[#This Row],[Task Name]]="","",IF(Tasks[[#This Row],[_IsSummary]],MAX(INDEX(Tasks[_LeafLateFinish],Tasks[[#This Row],[_Row]]+1):INDEX(Tasks[_LeafLateFinish],Tasks[[#This Row],[_Row]]+Tasks[[#This Row],[_Descendants]])),Tasks[[#This Row],[_LeafLateFinish]]))</f>
        <v/>
      </c>
      <c r="AV189" s="46"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4"/>
      <c r="BA1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5"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6"/>
      <c r="BJ189" s="22"/>
      <c r="BK189" s="46" t="str">
        <f aca="false">IF(OR(Tasks[[#This Row],[Task Name]]="",Tasks[[#This Row],[Baseline Duration]]=""),"",Tasks[[#This Row],[_SpanDays]]-N(Tasks[[#This Row],[Baseline Duration]]))</f>
        <v/>
      </c>
      <c r="BL189" s="85" t="str">
        <f aca="false">IF(OR(Tasks[[#This Row],[Task Name]]="",Tasks[[#This Row],[Baseline Work]]=""),"",Tasks[[#This Row],[Work]]-N(Tasks[[#This Row],[Baseline Work]]))</f>
        <v/>
      </c>
      <c r="BM189" s="62" t="str">
        <f aca="false">IF(Tasks[[#This Row],[Task Name]]="","",IF(OR(TakeBaseline="Yes",N(Tasks[[#This Row],[Baseline Start]])=0),Tasks[[#This Row],[Start]],Tasks[[#This Row],[Baseline Start]]))</f>
        <v/>
      </c>
      <c r="BN189" s="62"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5" t="str">
        <f aca="false">IF(Tasks[[#This Row],[Task Name]]="","",IF(OR(TakeBaseline="Yes",N(Tasks[[#This Row],[Baseline Work]])=0),Tasks[[#This Row],[Work]],Tasks[[#This Row],[Baseline Work]]))</f>
        <v/>
      </c>
      <c r="BQ189" s="7"/>
      <c r="BR189" s="7"/>
      <c r="BS189" s="22"/>
      <c r="BT189" s="87"/>
      <c r="BU189" s="42" t="str">
        <f aca="false">IF(Tasks[[#This Row],[Task Name]]="","",MAX(1,N(Tasks[[#This Row],[Level]])))</f>
        <v/>
      </c>
      <c r="BV189" s="42" t="n">
        <f aca="false">ROW()-ROW(Tasks[[#Headers],[ID]])</f>
        <v>184</v>
      </c>
      <c r="BW189" s="42" t="n">
        <f aca="false">IF(OR(Tasks[[#This Row],[Task Name]]="",Tasks[[#This Row],[_Level]]&lt;=1),0,IFERROR(LOOKUP(2,1/(Tasks[[#Headers],[_Level]]:Tasks[[#This Row],[_Level]]=Tasks[[#This Row],[_Level]]-1),ROW(Tasks[[#Headers],[_Level]]:Tasks[[#This Row],[_Level]])),0))</f>
        <v>0</v>
      </c>
      <c r="BX189" s="42" t="n">
        <f aca="false">IFERROR(N(INDEX(Tasks[_Level],Tasks[[#This Row],[_Row]]+1)),0)</f>
        <v>0</v>
      </c>
      <c r="BY189" s="88" t="b">
        <f aca="false">AND(Tasks[[#This Row],[Task Name]]&lt;&gt;"",Tasks[[#This Row],[_NextLevel]]&gt;Tasks[[#This Row],[_Level]])</f>
        <v>0</v>
      </c>
      <c r="BZ189" s="42" t="n">
        <f aca="false">IF(Tasks[[#This Row],[_IsSummary]],COUNTIF(Tasks[WBS],Tasks[[#This Row],[WBS]]&amp;".*"),0)</f>
        <v>0</v>
      </c>
      <c r="CA189" s="42" t="n">
        <f aca="false">IF(AND(Tasks[[#This Row],[Task Name]]&lt;&gt;"",NOT(Tasks[[#This Row],[_IsSummary]])),1,0)</f>
        <v>0</v>
      </c>
      <c r="CB189" s="42" t="n">
        <f aca="false">IF(N(Tasks[[#This Row],[_Pred1UID]])=0,0,IFERROR(MATCH(Tasks[[#This Row],[_Pred1UID]],Tasks[UID],0),-1))</f>
        <v>0</v>
      </c>
      <c r="CC189" s="42" t="n">
        <f aca="false">IF(N(Tasks[[#This Row],[_Pred2UID]])=0,0,IFERROR(MATCH(Tasks[[#This Row],[_Pred2UID]],Tasks[UID],0),-1))</f>
        <v>0</v>
      </c>
      <c r="CD189" s="42" t="n">
        <f aca="false">IF(N(Tasks[[#This Row],[_Pred3UID]])=0,0,IFERROR(MATCH(Tasks[[#This Row],[_Pred3UID]],Tasks[UID],0),-1))</f>
        <v>0</v>
      </c>
      <c r="CE189" s="42" t="n">
        <f aca="false">IF(N(Tasks[[#This Row],[_Pred4UID]])=0,0,IFERROR(MATCH(Tasks[[#This Row],[_Pred4UID]],Tasks[UID],0),-1))</f>
        <v>0</v>
      </c>
      <c r="CF1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9" s="89" t="n">
        <f aca="false">IF(OR(Tasks[[#This Row],[_ConstraintCode]]=2,Tasks[[#This Row],[_ConstraintCode]]=3,Tasks[[#This Row],[_ConstraintCode]]=4,Tasks[[#This Row],[_ConstraintCode]]=6),Tasks[[#This Row],[_ConstraintStart]],0)</f>
        <v>0</v>
      </c>
      <c r="CI189" s="89" t="n">
        <f aca="false">IF(OR(Tasks[[#This Row],[_ConstraintCode]]=2,Tasks[[#This Row],[_ConstraintCode]]=3,Tasks[[#This Row],[_ConstraintCode]]=5,Tasks[[#This Row],[_ConstraintCode]]=7),Tasks[[#This Row],[_ConstraintStart]],2958465)</f>
        <v>2958465</v>
      </c>
      <c r="CJ1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9" s="89" t="str">
        <f aca="false">IF(NOT(Tasks[[#This Row],[_IsLeaf]]=1),"",IF(N(Tasks[[#This Row],[_Days]])&lt;=0,Tasks[[#This Row],[_LeafCalcStart]],WORKDAY.INTL(Tasks[[#This Row],[_LeafCalcStart]],Tasks[[#This Row],[_Days]]-1,WorkWeek,Holidays)))</f>
        <v/>
      </c>
      <c r="CL1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9" s="42" t="str">
        <f aca="false">IF(Tasks[[#This Row],[_Predecessors]]="","",TRIM(MID(SUBSTITUTE(SUBSTITUTE(SUBSTITUTE(UPPER(Tasks[[#This Row],[_Predecessors]]),";",",")," ",""),",",REPT(" ",99)),1,99)))</f>
        <v/>
      </c>
      <c r="CO189" s="42" t="str">
        <f aca="false">IF(Tasks[[#This Row],[_Pred1Text]]="","",IFERROR(VALUE(LEFT(Tasks[[#This Row],[_Pred1Text]],MIN(FIND("F",Tasks[[#This Row],[_Pred1Text]]&amp;"F"),FIND("S",Tasks[[#This Row],[_Pred1Text]]&amp;"S"),FIND("+",Tasks[[#This Row],[_Pred1Text]]&amp;"+"),FIND("-",Tasks[[#This Row],[_Pred1Text]]&amp;"-"))-1)),""))</f>
        <v/>
      </c>
      <c r="CP1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9" s="42" t="str">
        <f aca="false">IF(Tasks[[#This Row],[_Pred1Text]]="","",TRIM(MID(SUBSTITUTE(SUBSTITUTE(SUBSTITUTE(UPPER(Tasks[[#This Row],[_Predecessors]]),";",",")," ",""),",",REPT(" ",99)),100,99)))</f>
        <v/>
      </c>
      <c r="CS189" s="42" t="str">
        <f aca="false">IF(Tasks[[#This Row],[_Pred2Text]]="","",IFERROR(VALUE(LEFT(Tasks[[#This Row],[_Pred2Text]],MIN(FIND("F",Tasks[[#This Row],[_Pred2Text]]&amp;"F"),FIND("S",Tasks[[#This Row],[_Pred2Text]]&amp;"S"),FIND("+",Tasks[[#This Row],[_Pred2Text]]&amp;"+"),FIND("-",Tasks[[#This Row],[_Pred2Text]]&amp;"-"))-1)),""))</f>
        <v/>
      </c>
      <c r="CT1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9" s="42" t="str">
        <f aca="false">IF(Tasks[[#This Row],[_Pred2Text]]="","",TRIM(MID(SUBSTITUTE(SUBSTITUTE(SUBSTITUTE(UPPER(Tasks[[#This Row],[_Predecessors]]),";",",")," ",""),",",REPT(" ",99)),199,99)))</f>
        <v/>
      </c>
      <c r="CW189" s="42" t="str">
        <f aca="false">IF(Tasks[[#This Row],[_Pred3Text]]="","",IFERROR(VALUE(LEFT(Tasks[[#This Row],[_Pred3Text]],MIN(FIND("F",Tasks[[#This Row],[_Pred3Text]]&amp;"F"),FIND("S",Tasks[[#This Row],[_Pred3Text]]&amp;"S"),FIND("+",Tasks[[#This Row],[_Pred3Text]]&amp;"+"),FIND("-",Tasks[[#This Row],[_Pred3Text]]&amp;"-"))-1)),""))</f>
        <v/>
      </c>
      <c r="CX1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9" s="42" t="str">
        <f aca="false">IF(Tasks[[#This Row],[_Pred3Text]]="","",TRIM(MID(SUBSTITUTE(SUBSTITUTE(SUBSTITUTE(UPPER(Tasks[[#This Row],[_Predecessors]]),";",",")," ",""),",",REPT(" ",99)),298,99)))</f>
        <v/>
      </c>
      <c r="DA189" s="42" t="str">
        <f aca="false">IF(Tasks[[#This Row],[_Pred4Text]]="","",IFERROR(VALUE(LEFT(Tasks[[#This Row],[_Pred4Text]],MIN(FIND("F",Tasks[[#This Row],[_Pred4Text]]&amp;"F"),FIND("S",Tasks[[#This Row],[_Pred4Text]]&amp;"S"),FIND("+",Tasks[[#This Row],[_Pred4Text]]&amp;"+"),FIND("-",Tasks[[#This Row],[_Pred4Text]]&amp;"-"))-1)),""))</f>
        <v/>
      </c>
      <c r="DB1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9" s="42" t="str">
        <f aca="false">IF(OR(Tasks[[#This Row],[Task Name]]="",Tasks[[#This Row],[_Resources]]=""),"",TRIM(MID(SUBSTITUTE(Tasks[[#This Row],[_Resources]],",",REPT(" ",99)),1,99)))</f>
        <v/>
      </c>
      <c r="DE189" s="42" t="str">
        <f aca="false">IF(Tasks[[#This Row],[_Res1Text]]="","",TRIM(MID(SUBSTITUTE(Tasks[[#This Row],[_Resources]],",",REPT(" ",99)),100,99)))</f>
        <v/>
      </c>
      <c r="DF189" s="42" t="str">
        <f aca="false">IF(Tasks[[#This Row],[_Res2Text]]="","",TRIM(MID(SUBSTITUTE(Tasks[[#This Row],[_Resources]],",",REPT(" ",99)),199,99)))</f>
        <v/>
      </c>
      <c r="DG189" s="42" t="str">
        <f aca="false">IF(Tasks[[#This Row],[_Res3Text]]="","",TRIM(MID(SUBSTITUTE(Tasks[[#This Row],[_Resources]],",",REPT(" ",99)),298,99)))</f>
        <v/>
      </c>
      <c r="DH189" s="42" t="n">
        <f aca="false">IF(Tasks[[#This Row],[_Res1Text]]="",0,IFERROR(MATCH(TRIM(LEFT(Tasks[[#This Row],[_Res1Text]],FIND("[",Tasks[[#This Row],[_Res1Text]]&amp;"[")-1)),res_Name,0),IFERROR(MATCH(TRIM(LEFT(Tasks[[#This Row],[_Res1Text]],FIND("[",Tasks[[#This Row],[_Res1Text]]&amp;"[")-1)),res_Initials,0),0)))</f>
        <v>0</v>
      </c>
      <c r="DI189" s="42" t="n">
        <f aca="false">IF(Tasks[[#This Row],[_Res2Text]]="",0,IFERROR(MATCH(TRIM(LEFT(Tasks[[#This Row],[_Res2Text]],FIND("[",Tasks[[#This Row],[_Res2Text]]&amp;"[")-1)),res_Name,0),IFERROR(MATCH(TRIM(LEFT(Tasks[[#This Row],[_Res2Text]],FIND("[",Tasks[[#This Row],[_Res2Text]]&amp;"[")-1)),res_Initials,0),0)))</f>
        <v>0</v>
      </c>
      <c r="DJ189" s="42" t="n">
        <f aca="false">IF(Tasks[[#This Row],[_Res3Text]]="",0,IFERROR(MATCH(TRIM(LEFT(Tasks[[#This Row],[_Res3Text]],FIND("[",Tasks[[#This Row],[_Res3Text]]&amp;"[")-1)),res_Name,0),IFERROR(MATCH(TRIM(LEFT(Tasks[[#This Row],[_Res3Text]],FIND("[",Tasks[[#This Row],[_Res3Text]]&amp;"[")-1)),res_Initials,0),0)))</f>
        <v>0</v>
      </c>
      <c r="DK189" s="42" t="n">
        <f aca="false">IF(Tasks[[#This Row],[_Res4Text]]="",0,IFERROR(MATCH(TRIM(LEFT(Tasks[[#This Row],[_Res4Text]],FIND("[",Tasks[[#This Row],[_Res4Text]]&amp;"[")-1)),res_Name,0),IFERROR(MATCH(TRIM(LEFT(Tasks[[#This Row],[_Res4Text]],FIND("[",Tasks[[#This Row],[_Res4Text]]&amp;"[")-1)),res_Initials,0),0)))</f>
        <v>0</v>
      </c>
      <c r="DL189" s="42" t="str">
        <f aca="false">IF(Tasks[[#This Row],[_Res1Text]]="","",IF(Tasks[[#This Row],[_Res1Row]]&gt;0,INDEX(res_Name,Tasks[[#This Row],[_Res1Row]]),TRIM(LEFT(Tasks[[#This Row],[_Res1Text]],FIND("[",Tasks[[#This Row],[_Res1Text]]&amp;"[")-1))))</f>
        <v/>
      </c>
      <c r="DM1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9" s="42" t="n">
        <f aca="false">IF(NOT(Tasks[[#This Row],[_IsLeaf]]=1),0,(Tasks[[#This Row],[_Resource1]]&lt;&gt;"")+(Tasks[[#This Row],[_Res2]]&lt;&gt;"")+(Tasks[[#This Row],[_Res3]]&lt;&gt;"")+(Tasks[[#This Row],[_Res4]]&lt;&gt;""))</f>
        <v>0</v>
      </c>
      <c r="DO189" s="42" t="str">
        <f aca="false">IF(Tasks[[#This Row],[_Res2Text]]="","",IF(Tasks[[#This Row],[_Res2Row]]&gt;0,INDEX(res_Name,Tasks[[#This Row],[_Res2Row]]),TRIM(LEFT(Tasks[[#This Row],[_Res2Text]],FIND("[",Tasks[[#This Row],[_Res2Text]]&amp;"[")-1))))</f>
        <v/>
      </c>
      <c r="DP1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9" s="42" t="n">
        <f aca="false">IF(OR(NOT(Tasks[[#This Row],[_IsLeaf]]=1),Tasks[[#This Row],[_Res2Row]]=0),0,N(Tasks[[#This Row],[_Days]])*HoursPerDay*IF(Tasks[[#This Row],[_Res2Units]]="",DefaultUnits,Tasks[[#This Row],[_Res2Units]]))</f>
        <v>0</v>
      </c>
      <c r="DR189" s="42" t="n">
        <f aca="false">IF(AND(AND(Tasks[[#This Row],[_IsLeaf]]=1,Tasks[[#This Row],[_LeafTotalWork]]&gt;0),Tasks[[#This Row],[_Res2Work]]&gt;0),Tasks[[#This Row],[_Res2Work]]/(Tasks[[#This Row],[_FinishWorkday]]-Tasks[[#This Row],[_StartWorkday]]+1),0)</f>
        <v>0</v>
      </c>
      <c r="DS189" s="42" t="n">
        <f aca="false">Tasks[[#This Row],[_Res2WorkPerWD]]*MAX(0,Tasks[[#This Row],[_StartWorkday]]-1)</f>
        <v>0</v>
      </c>
      <c r="DT189" s="42" t="n">
        <f aca="false">Tasks[[#This Row],[_Res2Work]]*Tasks[[#This Row],[_LeafProgress]]</f>
        <v>0</v>
      </c>
      <c r="DU189" s="42" t="str">
        <f aca="false">IF(Tasks[[#This Row],[_Res3Text]]="","",IF(Tasks[[#This Row],[_Res3Row]]&gt;0,INDEX(res_Name,Tasks[[#This Row],[_Res3Row]]),TRIM(LEFT(Tasks[[#This Row],[_Res3Text]],FIND("[",Tasks[[#This Row],[_Res3Text]]&amp;"[")-1))))</f>
        <v/>
      </c>
      <c r="DV1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9" s="42" t="n">
        <f aca="false">IF(OR(NOT(Tasks[[#This Row],[_IsLeaf]]=1),Tasks[[#This Row],[_Res3Row]]=0),0,N(Tasks[[#This Row],[_Days]])*HoursPerDay*IF(Tasks[[#This Row],[_Res3Units]]="",DefaultUnits,Tasks[[#This Row],[_Res3Units]]))</f>
        <v>0</v>
      </c>
      <c r="DX189" s="42" t="n">
        <f aca="false">IF(AND(AND(Tasks[[#This Row],[_IsLeaf]]=1,Tasks[[#This Row],[_LeafTotalWork]]&gt;0),Tasks[[#This Row],[_Res3Work]]&gt;0),Tasks[[#This Row],[_Res3Work]]/(Tasks[[#This Row],[_FinishWorkday]]-Tasks[[#This Row],[_StartWorkday]]+1),0)</f>
        <v>0</v>
      </c>
      <c r="DY189" s="42" t="n">
        <f aca="false">Tasks[[#This Row],[_Res3WorkPerWD]]*MAX(0,Tasks[[#This Row],[_StartWorkday]]-1)</f>
        <v>0</v>
      </c>
      <c r="DZ189" s="42" t="n">
        <f aca="false">Tasks[[#This Row],[_Res3Work]]*Tasks[[#This Row],[_LeafProgress]]</f>
        <v>0</v>
      </c>
      <c r="EA189" s="42" t="str">
        <f aca="false">IF(Tasks[[#This Row],[_Res4Text]]="","",IF(Tasks[[#This Row],[_Res4Row]]&gt;0,INDEX(res_Name,Tasks[[#This Row],[_Res4Row]]),TRIM(LEFT(Tasks[[#This Row],[_Res4Text]],FIND("[",Tasks[[#This Row],[_Res4Text]]&amp;"[")-1))))</f>
        <v/>
      </c>
      <c r="EB1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9" s="42" t="n">
        <f aca="false">IF(OR(NOT(Tasks[[#This Row],[_IsLeaf]]=1),Tasks[[#This Row],[_Res4Row]]=0),0,N(Tasks[[#This Row],[_Days]])*HoursPerDay*IF(Tasks[[#This Row],[_Res4Units]]="",DefaultUnits,Tasks[[#This Row],[_Res4Units]]))</f>
        <v>0</v>
      </c>
      <c r="ED189" s="42" t="n">
        <f aca="false">IF(AND(AND(Tasks[[#This Row],[_IsLeaf]]=1,Tasks[[#This Row],[_LeafTotalWork]]&gt;0),Tasks[[#This Row],[_Res4Work]]&gt;0),Tasks[[#This Row],[_Res4Work]]/(Tasks[[#This Row],[_FinishWorkday]]-Tasks[[#This Row],[_StartWorkday]]+1),0)</f>
        <v>0</v>
      </c>
      <c r="EE189" s="42" t="n">
        <f aca="false">Tasks[[#This Row],[_Res4WorkPerWD]]*MAX(0,Tasks[[#This Row],[_StartWorkday]]-1)</f>
        <v>0</v>
      </c>
      <c r="EF189" s="42" t="n">
        <f aca="false">Tasks[[#This Row],[_Res4Work]]*Tasks[[#This Row],[_LeafProgress]]</f>
        <v>0</v>
      </c>
      <c r="EG189" s="42" t="n">
        <f aca="false">IF(ISNUMBER(Tasks[[#This Row],[% Complete]]),Tasks[[#This Row],[% Complete]],IF(Tasks[[#This Row],[Stage]]="",0,IFERROR(INDEX(stg_Pct,MATCH(Tasks[[#This Row],[Stage]],stg_Name,0)),0)))</f>
        <v>0</v>
      </c>
      <c r="EH189" s="42" t="n">
        <f aca="false">IF(NOT(Tasks[[#This Row],[_IsLeaf]]=1),0,IF(N(Tasks[[#This Row],[Actual Finish]])&gt;0,1,MIN(1,Tasks[[#This Row],[_Pct]])))</f>
        <v>0</v>
      </c>
      <c r="EI189" s="42" t="n">
        <f aca="false">IF(OR(NOT(Tasks[[#This Row],[_IsLeaf]]=1),Tasks[[#This Row],[_Res1Row]]=0),0,N(Tasks[[#This Row],[_Days]])*HoursPerDay*IF(Tasks[[#This Row],[_Units1]]="",DefaultUnits,Tasks[[#This Row],[_Units1]]))</f>
        <v>0</v>
      </c>
      <c r="EJ189" s="42" t="n">
        <f aca="false">Tasks[[#This Row],[_LeafWork]]+Tasks[[#This Row],[_Res2Work]]+Tasks[[#This Row],[_Res3Work]]+Tasks[[#This Row],[_Res4Work]]</f>
        <v>0</v>
      </c>
      <c r="EK1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9" s="42" t="n">
        <f aca="false">IF(NOT(Tasks[[#This Row],[_IsLeaf]]=1),0,MAX(_xlfn.MAXIFS(Tasks[_Row],Tasks[_Pred1UID],Tasks[[#This Row],[UID]]),_xlfn.MAXIFS(Tasks[_Row],Tasks[_Pred2UID],Tasks[[#This Row],[UID]]),_xlfn.MAXIFS(Tasks[_Row],Tasks[_Pred3UID],Tasks[[#This Row],[UID]]),_xlfn.MAXIFS(Tasks[_Row],Tasks[_Pred4UID],Tasks[[#This Row],[UID]])))</f>
        <v>0</v>
      </c>
      <c r="ET1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9" s="89" t="str">
        <f aca="false">IF(NOT(Tasks[[#This Row],[_IsLeaf]]=1),"",IF(N(Tasks[[#This Row],[_Days]])&lt;=0,Tasks[[#This Row],[_LeafLateFinish]],WORKDAY.INTL(Tasks[[#This Row],[_LeafLateFinish]],-(Tasks[[#This Row],[_Days]]-1),WorkWeek,Holidays)))</f>
        <v/>
      </c>
      <c r="EW1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9" s="88" t="b">
        <f aca="false">AND(Tasks[[#This Row],[_IsLeaf]]=1,Tasks[[#This Row],[_LeafProgress]]&lt;1,N(Tasks[[#This Row],[_LeafTotalSlack]])&lt;=CriticalSlackDays)</f>
        <v>0</v>
      </c>
      <c r="EY189" s="42" t="n">
        <f aca="false">IF(AND(Tasks[[#This Row],[_IsLeaf]]=1,Tasks[[#This Row],[_ConstraintCode]]=1,Tasks[[#This Row],[Mode]]&lt;&gt;"Manual",N(Tasks[[#This Row],[Actual Start]])=0),MAX(0,N(Tasks[[#This Row],[Free Slack]])),0)</f>
        <v>0</v>
      </c>
      <c r="EZ189" s="89" t="str">
        <f aca="false">IF(NOT(Tasks[[#This Row],[_IsLeaf]]=1),"",IF(Tasks[[#This Row],[_AlapShift]]=0,Tasks[[#This Row],[_LeafCalcStart]],WORKDAY.INTL(Tasks[[#This Row],[_LeafCalcStart]],Tasks[[#This Row],[_AlapShift]],WorkWeek,Holidays)))</f>
        <v/>
      </c>
      <c r="FA189" s="89" t="str">
        <f aca="false">IF(NOT(Tasks[[#This Row],[_IsLeaf]]=1),"",IF(Tasks[[#This Row],[_AlapShift]]=0,Tasks[[#This Row],[_LeafCalcFinish]],WORKDAY.INTL(Tasks[[#This Row],[_LeafCalcFinish]],Tasks[[#This Row],[_AlapShift]],WorkWeek,Holidays)))</f>
        <v/>
      </c>
      <c r="FB189" s="89" t="str">
        <f aca="false">IF(NOT(Tasks[[#This Row],[_IsLeaf]]=1),"",IF(Tasks[[#This Row],[_AlapShift]]=0,Tasks[[#This Row],[_LeafFcstStart]],WORKDAY.INTL(Tasks[[#This Row],[_LeafFcstStart]],Tasks[[#This Row],[_AlapShift]],WorkWeek,Holidays)))</f>
        <v/>
      </c>
      <c r="FC189" s="89" t="str">
        <f aca="false">IF(NOT(Tasks[[#This Row],[_IsLeaf]]=1),"",IF(Tasks[[#This Row],[_AlapShift]]=0,Tasks[[#This Row],[_LeafFcstFinish]],WORKDAY.INTL(Tasks[[#This Row],[_LeafFcstFinish]],Tasks[[#This Row],[_AlapShift]],WorkWeek,Holidays)))</f>
        <v/>
      </c>
      <c r="FD189" s="89" t="str">
        <f aca="false">IF(Tasks[[#This Row],[Task Name]]="","",IF(Tasks[[#This Row],[_IsSummary]],MIN(INDEX(Tasks[_ShownCalcStart],Tasks[[#This Row],[_Row]]+1):INDEX(Tasks[_ShownCalcStart],Tasks[[#This Row],[_Row]]+Tasks[[#This Row],[_Descendants]])),Tasks[[#This Row],[_ShownCalcStart]]))</f>
        <v/>
      </c>
      <c r="FE189" s="89" t="str">
        <f aca="false">IF(Tasks[[#This Row],[Task Name]]="","",IF(Tasks[[#This Row],[_IsSummary]],MAX(INDEX(Tasks[_ShownCalcFinish],Tasks[[#This Row],[_Row]]+1):INDEX(Tasks[_ShownCalcFinish],Tasks[[#This Row],[_Row]]+Tasks[[#This Row],[_Descendants]])),Tasks[[#This Row],[_ShownCalcFinish]]))</f>
        <v/>
      </c>
      <c r="FF1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9" s="42" t="n">
        <f aca="false">IF(AND(Tasks[[#This Row],[_IsLeaf]]=1,Tasks[[#This Row],[_LeafTotalWork]]&gt;0),NETWORKDAYS.INTL(ProjectStart,Tasks[[#This Row],[_ShownFcstStart]],WorkWeek,Holidays),0)</f>
        <v>0</v>
      </c>
      <c r="FS189" s="42" t="n">
        <f aca="false">IF(AND(Tasks[[#This Row],[_IsLeaf]]=1,Tasks[[#This Row],[_LeafTotalWork]]&gt;0),MAX(Tasks[[#This Row],[_StartWorkday]],NETWORKDAYS.INTL(ProjectStart,Tasks[[#This Row],[_ShownFcstFinish]],WorkWeek,Holidays)),0)</f>
        <v>0</v>
      </c>
      <c r="FT189" s="42" t="n">
        <f aca="false">IF(AND(Tasks[[#This Row],[_IsLeaf]]=1,Tasks[[#This Row],[_LeafTotalWork]]&gt;0),Tasks[[#This Row],[_LeafWork]]/(Tasks[[#This Row],[_FinishWorkday]]-Tasks[[#This Row],[_StartWorkday]]+1),0)</f>
        <v>0</v>
      </c>
      <c r="FU189" s="42" t="n">
        <f aca="false">Tasks[[#This Row],[_WorkPerWorkday]]*(Tasks[[#This Row],[_StartWorkday]]-1)</f>
        <v>-0</v>
      </c>
      <c r="FV189" s="42" t="n">
        <f aca="false">IF(Tasks[[#This Row],[_IsLeaf]]=1,MAX(N(Tasks[[#This Row],[_Days]]),0.1),0)</f>
        <v>0</v>
      </c>
      <c r="FW189" s="42" t="n">
        <f aca="false">Tasks[[#This Row],[_WeightDur]]*Tasks[[#This Row],[_LeafProgress]]</f>
        <v>0</v>
      </c>
      <c r="FX189" s="42" t="n">
        <f aca="false">Tasks[[#This Row],[_WeightDur]]*Tasks[[#This Row],[_PlannedPct]]</f>
        <v>0</v>
      </c>
      <c r="FY1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9" s="42" t="str">
        <f aca="false">IF(AND(Tasks[[#This Row],[_IsLeaf]]=1,N(Tasks[[#This Row],[_Days]])=0,Tasks[[#This Row],[_LeafProgress]]&lt;1),Tasks[[#This Row],[_ShownFcstFinish]]+Tasks[[#This Row],[_Row]]/100000,"")</f>
        <v/>
      </c>
      <c r="GA1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9" s="42" t="str">
        <f aca="false">IF(Tasks[[#This Row],[Task Name]]="","",LEFT(Tasks[[#This Row],[WBS]],FIND(".",Tasks[[#This Row],[WBS]]&amp;".")-1))</f>
        <v/>
      </c>
      <c r="GC189" s="42" t="str">
        <f aca="false">IF(AND(Tasks[[#This Row],[Task Name]]&lt;&gt;"",Tasks[[#This Row],[_Level]]=1),Tasks[[#This Row],[_Row]],"")</f>
        <v/>
      </c>
      <c r="GD189" s="42" t="str">
        <f aca="false">IF(AND(Tasks[[#This Row],[_IsLeaf]]=1,N(Tasks[[#This Row],[_Days]])=0),Tasks[[#This Row],[Planned Finish]]+Tasks[[#This Row],[_Row]]/100000,"")</f>
        <v/>
      </c>
      <c r="GE189" s="42" t="str">
        <f aca="false">IF(AND(Tasks[[#This Row],[_IsLeaf]]=1,Tasks[[#This Row],[_LeafProgress]]&lt;1,OR(N(Tasks[[#This Row],[Finish Var]])&gt;0,Tasks[[#This Row],[Status]]="Late Start")),MAX(0,Tasks[[#This Row],[Finish Var]])+1-Tasks[[#This Row],[_Row]]/1000000,"")</f>
        <v/>
      </c>
      <c r="GF189" s="42" t="str">
        <f aca="false">IF(AND(Tasks[[#This Row],[_IsLeaf]]=1,N(Tasks[[#This Row],[Actual Start]])=0,Tasks[[#This Row],[_ShownFcstStart]]&gt;=StatusDate,Tasks[[#This Row],[_ShownFcstStart]]&lt;=LookaheadEnd),Tasks[[#This Row],[_ShownFcstStart]]+Tasks[[#This Row],[_Row]]/100000,"")</f>
        <v/>
      </c>
      <c r="GG189" s="42" t="str">
        <f aca="false">IF(AND(Tasks[[#This Row],[_IsLeaf]]=1,Tasks[[#This Row],[_LeafProgress]]&lt;1,Tasks[[#This Row],[_ShownFcstFinish]]&gt;=StatusDate,Tasks[[#This Row],[_ShownFcstFinish]]&lt;=LookaheadEnd),Tasks[[#This Row],[_ShownFcstFinish]]+Tasks[[#This Row],[_Row]]/100000,"")</f>
        <v/>
      </c>
      <c r="GH189" s="42" t="str">
        <f aca="false">IF(Tasks[[#This Row],[_LeafCritical]],Tasks[[#This Row],[_ShownFcstStart]]+Tasks[[#This Row],[_Row]]/100000,"")</f>
        <v/>
      </c>
      <c r="GI189" s="42" t="n">
        <f aca="false">Tasks[[#This Row],[_LeafWork]]*Tasks[[#This Row],[_LeafProgress]]</f>
        <v>0</v>
      </c>
      <c r="GJ189" s="89" t="str">
        <f aca="false">IF(AND(Tasks[[#This Row],[_IsLeaf]]=1,Tasks[[#This Row],[_LeafProgress]]&gt;=1),IF(N(Tasks[[#This Row],[Actual Finish]])&gt;0,Tasks[[#This Row],[Actual Finish]],Tasks[[#This Row],[_ShownFcstFinish]]),"")</f>
        <v/>
      </c>
      <c r="GK189" s="42" t="n">
        <f aca="false">IF(Tasks[[#This Row],[_IsLeaf]]=1,N(Tasks[[#This Row],[Story Points]]),0)</f>
        <v>0</v>
      </c>
      <c r="GL189" s="42" t="str">
        <f aca="false">""</f>
        <v/>
      </c>
      <c r="GM189" s="88" t="b">
        <f aca="false">IF(Tasks[[#This Row],[Task Name]]="",FALSE(),AND(Tasks[[#This Row],[_IsLeaf]]=1,N(Tasks[[#This Row],[_Days]])=0))</f>
        <v>0</v>
      </c>
      <c r="GN189" s="89" t="n">
        <f aca="false">IF(Tasks[[#This Row],[Task Name]]="",0,IF(AND(Tasks[[#This Row],[_IsLeaf]]=1,NOT(Tasks[[#This Row],[_IsMilestone]]),N(Tasks[[#This Row],[Progress]])&gt;0),Tasks[[#This Row],[Start]],0))</f>
        <v>0</v>
      </c>
      <c r="GO189" s="89" t="n">
        <f aca="false">IF(Tasks[[#This Row],[_DoneFrom]]=0,0,IF(Tasks[[#This Row],[Progress]]&gt;=1,Tasks[[#This Row],[Finish]],MAX(Tasks[[#This Row],[_DoneFrom]],Tasks[[#This Row],[Start]]+ROUND((Tasks[[#This Row],[Finish]]-Tasks[[#This Row],[Start]]+1)*Tasks[[#This Row],[Progress]],0)-1)))</f>
        <v>0</v>
      </c>
      <c r="GP189" s="89" t="n">
        <f aca="false">IF(Tasks[[#This Row],[Task Name]]="",0,IF(OR(NOT(Tasks[[#This Row],[_IsLeaf]]=1),Tasks[[#This Row],[_IsMilestone]],N(Tasks[[#This Row],[Progress]])&gt;=1),0,IF(Tasks[[#This Row],[_DoneTo]]&gt;0,Tasks[[#This Row],[_DoneTo]]+1,Tasks[[#This Row],[Start]])))</f>
        <v>0</v>
      </c>
      <c r="GQ189" s="89" t="n">
        <f aca="false">IF(Tasks[[#This Row],[_RemFrom]]=0,0,Tasks[[#This Row],[Finish]])</f>
        <v>0</v>
      </c>
      <c r="GR189" s="88" t="b">
        <f aca="false">IF(Tasks[[#This Row],[Task Name]]="",FALSE(),OR(NOT(BaselineSet),N(Tasks[[#This Row],[Baseline Start]])&gt;0))</f>
        <v>0</v>
      </c>
      <c r="GS1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9" s="90" t="str">
        <f aca="false">IF(Tasks[[#This Row],[_IsLeaf]]=1,Tasks[[#This Row],[_Row]],"")</f>
        <v/>
      </c>
      <c r="GW189" s="90" t="str">
        <f aca="false">IFERROR(INDEX(Tasks[UID],SMALL(Tasks[_PickKey],Tasks[[#This Row],[_Row]]))&amp;" "&amp;INDEX(Tasks[Task Name],SMALL(Tasks[_PickKey],Tasks[[#This Row],[_Row]])),"")</f>
        <v/>
      </c>
      <c r="GX189" s="42" t="str">
        <f aca="false">IF(Tasks[[#This Row],[Task Name]]="","",IF(Tasks[[#This Row],[_IsSummary]],NETWORKDAYS.INTL(Tasks[[#This Row],[Start]],Tasks[[#This Row],[Finish]],WorkWeek,Holidays),N(Tasks[[#This Row],[_Days]])))</f>
        <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3"/>
      <c r="U190" s="23"/>
      <c r="V190" s="83"/>
      <c r="W190" s="23"/>
      <c r="X190" s="83"/>
      <c r="Y190" s="23"/>
      <c r="Z190" s="83"/>
      <c r="AA190" s="23"/>
      <c r="AB190" s="23"/>
      <c r="AC190" s="7"/>
      <c r="AD190" s="7"/>
      <c r="AE190" s="62" t="str">
        <f aca="false">IF(Tasks[[#This Row],[Task Name]]="","",IF(Tasks[[#This Row],[_IsSummary]],MIN(INDEX(Tasks[_ShownFcstStart],Tasks[[#This Row],[_Row]]+1):INDEX(Tasks[_ShownFcstStart],Tasks[[#This Row],[_Row]]+Tasks[[#This Row],[_Descendants]])),Tasks[[#This Row],[_ShownFcstStart]]))</f>
        <v/>
      </c>
      <c r="AF190" s="62"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0" s="7"/>
      <c r="AK190" s="22"/>
      <c r="AL190" s="23"/>
      <c r="AM190" s="7"/>
      <c r="AN190" s="46"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2" t="str">
        <f aca="false">IF(Tasks[[#This Row],[Task Name]]="","",IF(N(Tasks[[#This Row],[Baseline Start]])&gt;0,Tasks[[#This Row],[Baseline Start]],Tasks[[#This Row],[_CalcStart]]))</f>
        <v/>
      </c>
      <c r="AR190" s="62" t="str">
        <f aca="false">IF(Tasks[[#This Row],[Task Name]]="","",IF(N(Tasks[[#This Row],[Baseline Finish]])&gt;0,Tasks[[#This Row],[Baseline Finish]],Tasks[[#This Row],[_CalcFinish]]))</f>
        <v/>
      </c>
      <c r="AS190" s="46" t="str">
        <f aca="false">IF(Tasks[[#This Row],[Task Name]]="","",IF(Tasks[[#This Row],[Start]]&gt;=Tasks[[#This Row],[Planned Start]],NETWORKDAYS.INTL(Tasks[[#This Row],[Planned Start]],Tasks[[#This Row],[Start]],WorkWeek,Holidays)-1,1-NETWORKDAYS.INTL(Tasks[[#This Row],[Start]],Tasks[[#This Row],[Planned Start]],WorkWeek,Holidays)))</f>
        <v/>
      </c>
      <c r="AT190" s="62" t="str">
        <f aca="false">IF(Tasks[[#This Row],[Task Name]]="","",IF(Tasks[[#This Row],[_IsSummary]],MIN(INDEX(Tasks[_LeafLateStart],Tasks[[#This Row],[_Row]]+1):INDEX(Tasks[_LeafLateStart],Tasks[[#This Row],[_Row]]+Tasks[[#This Row],[_Descendants]])),Tasks[[#This Row],[_LeafLateStart]]))</f>
        <v/>
      </c>
      <c r="AU190" s="62" t="str">
        <f aca="false">IF(Tasks[[#This Row],[Task Name]]="","",IF(Tasks[[#This Row],[_IsSummary]],MAX(INDEX(Tasks[_LeafLateFinish],Tasks[[#This Row],[_Row]]+1):INDEX(Tasks[_LeafLateFinish],Tasks[[#This Row],[_Row]]+Tasks[[#This Row],[_Descendants]])),Tasks[[#This Row],[_LeafLateFinish]]))</f>
        <v/>
      </c>
      <c r="AV190" s="46"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4"/>
      <c r="BA1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5"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6"/>
      <c r="BJ190" s="22"/>
      <c r="BK190" s="46" t="str">
        <f aca="false">IF(OR(Tasks[[#This Row],[Task Name]]="",Tasks[[#This Row],[Baseline Duration]]=""),"",Tasks[[#This Row],[_SpanDays]]-N(Tasks[[#This Row],[Baseline Duration]]))</f>
        <v/>
      </c>
      <c r="BL190" s="85" t="str">
        <f aca="false">IF(OR(Tasks[[#This Row],[Task Name]]="",Tasks[[#This Row],[Baseline Work]]=""),"",Tasks[[#This Row],[Work]]-N(Tasks[[#This Row],[Baseline Work]]))</f>
        <v/>
      </c>
      <c r="BM190" s="62" t="str">
        <f aca="false">IF(Tasks[[#This Row],[Task Name]]="","",IF(OR(TakeBaseline="Yes",N(Tasks[[#This Row],[Baseline Start]])=0),Tasks[[#This Row],[Start]],Tasks[[#This Row],[Baseline Start]]))</f>
        <v/>
      </c>
      <c r="BN190" s="62"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5" t="str">
        <f aca="false">IF(Tasks[[#This Row],[Task Name]]="","",IF(OR(TakeBaseline="Yes",N(Tasks[[#This Row],[Baseline Work]])=0),Tasks[[#This Row],[Work]],Tasks[[#This Row],[Baseline Work]]))</f>
        <v/>
      </c>
      <c r="BQ190" s="7"/>
      <c r="BR190" s="7"/>
      <c r="BS190" s="22"/>
      <c r="BT190" s="87"/>
      <c r="BU190" s="42" t="str">
        <f aca="false">IF(Tasks[[#This Row],[Task Name]]="","",MAX(1,N(Tasks[[#This Row],[Level]])))</f>
        <v/>
      </c>
      <c r="BV190" s="42" t="n">
        <f aca="false">ROW()-ROW(Tasks[[#Headers],[ID]])</f>
        <v>185</v>
      </c>
      <c r="BW190" s="42" t="n">
        <f aca="false">IF(OR(Tasks[[#This Row],[Task Name]]="",Tasks[[#This Row],[_Level]]&lt;=1),0,IFERROR(LOOKUP(2,1/(Tasks[[#Headers],[_Level]]:Tasks[[#This Row],[_Level]]=Tasks[[#This Row],[_Level]]-1),ROW(Tasks[[#Headers],[_Level]]:Tasks[[#This Row],[_Level]])),0))</f>
        <v>0</v>
      </c>
      <c r="BX190" s="42" t="n">
        <f aca="false">IFERROR(N(INDEX(Tasks[_Level],Tasks[[#This Row],[_Row]]+1)),0)</f>
        <v>0</v>
      </c>
      <c r="BY190" s="88" t="b">
        <f aca="false">AND(Tasks[[#This Row],[Task Name]]&lt;&gt;"",Tasks[[#This Row],[_NextLevel]]&gt;Tasks[[#This Row],[_Level]])</f>
        <v>0</v>
      </c>
      <c r="BZ190" s="42" t="n">
        <f aca="false">IF(Tasks[[#This Row],[_IsSummary]],COUNTIF(Tasks[WBS],Tasks[[#This Row],[WBS]]&amp;".*"),0)</f>
        <v>0</v>
      </c>
      <c r="CA190" s="42" t="n">
        <f aca="false">IF(AND(Tasks[[#This Row],[Task Name]]&lt;&gt;"",NOT(Tasks[[#This Row],[_IsSummary]])),1,0)</f>
        <v>0</v>
      </c>
      <c r="CB190" s="42" t="n">
        <f aca="false">IF(N(Tasks[[#This Row],[_Pred1UID]])=0,0,IFERROR(MATCH(Tasks[[#This Row],[_Pred1UID]],Tasks[UID],0),-1))</f>
        <v>0</v>
      </c>
      <c r="CC190" s="42" t="n">
        <f aca="false">IF(N(Tasks[[#This Row],[_Pred2UID]])=0,0,IFERROR(MATCH(Tasks[[#This Row],[_Pred2UID]],Tasks[UID],0),-1))</f>
        <v>0</v>
      </c>
      <c r="CD190" s="42" t="n">
        <f aca="false">IF(N(Tasks[[#This Row],[_Pred3UID]])=0,0,IFERROR(MATCH(Tasks[[#This Row],[_Pred3UID]],Tasks[UID],0),-1))</f>
        <v>0</v>
      </c>
      <c r="CE190" s="42" t="n">
        <f aca="false">IF(N(Tasks[[#This Row],[_Pred4UID]])=0,0,IFERROR(MATCH(Tasks[[#This Row],[_Pred4UID]],Tasks[UID],0),-1))</f>
        <v>0</v>
      </c>
      <c r="CF1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0" s="89" t="n">
        <f aca="false">IF(OR(Tasks[[#This Row],[_ConstraintCode]]=2,Tasks[[#This Row],[_ConstraintCode]]=3,Tasks[[#This Row],[_ConstraintCode]]=4,Tasks[[#This Row],[_ConstraintCode]]=6),Tasks[[#This Row],[_ConstraintStart]],0)</f>
        <v>0</v>
      </c>
      <c r="CI190" s="89" t="n">
        <f aca="false">IF(OR(Tasks[[#This Row],[_ConstraintCode]]=2,Tasks[[#This Row],[_ConstraintCode]]=3,Tasks[[#This Row],[_ConstraintCode]]=5,Tasks[[#This Row],[_ConstraintCode]]=7),Tasks[[#This Row],[_ConstraintStart]],2958465)</f>
        <v>2958465</v>
      </c>
      <c r="CJ1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0" s="89" t="str">
        <f aca="false">IF(NOT(Tasks[[#This Row],[_IsLeaf]]=1),"",IF(N(Tasks[[#This Row],[_Days]])&lt;=0,Tasks[[#This Row],[_LeafCalcStart]],WORKDAY.INTL(Tasks[[#This Row],[_LeafCalcStart]],Tasks[[#This Row],[_Days]]-1,WorkWeek,Holidays)))</f>
        <v/>
      </c>
      <c r="CL1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0" s="42" t="str">
        <f aca="false">IF(Tasks[[#This Row],[_Predecessors]]="","",TRIM(MID(SUBSTITUTE(SUBSTITUTE(SUBSTITUTE(UPPER(Tasks[[#This Row],[_Predecessors]]),";",",")," ",""),",",REPT(" ",99)),1,99)))</f>
        <v/>
      </c>
      <c r="CO190" s="42" t="str">
        <f aca="false">IF(Tasks[[#This Row],[_Pred1Text]]="","",IFERROR(VALUE(LEFT(Tasks[[#This Row],[_Pred1Text]],MIN(FIND("F",Tasks[[#This Row],[_Pred1Text]]&amp;"F"),FIND("S",Tasks[[#This Row],[_Pred1Text]]&amp;"S"),FIND("+",Tasks[[#This Row],[_Pred1Text]]&amp;"+"),FIND("-",Tasks[[#This Row],[_Pred1Text]]&amp;"-"))-1)),""))</f>
        <v/>
      </c>
      <c r="CP1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0" s="42" t="str">
        <f aca="false">IF(Tasks[[#This Row],[_Pred1Text]]="","",TRIM(MID(SUBSTITUTE(SUBSTITUTE(SUBSTITUTE(UPPER(Tasks[[#This Row],[_Predecessors]]),";",",")," ",""),",",REPT(" ",99)),100,99)))</f>
        <v/>
      </c>
      <c r="CS190" s="42" t="str">
        <f aca="false">IF(Tasks[[#This Row],[_Pred2Text]]="","",IFERROR(VALUE(LEFT(Tasks[[#This Row],[_Pred2Text]],MIN(FIND("F",Tasks[[#This Row],[_Pred2Text]]&amp;"F"),FIND("S",Tasks[[#This Row],[_Pred2Text]]&amp;"S"),FIND("+",Tasks[[#This Row],[_Pred2Text]]&amp;"+"),FIND("-",Tasks[[#This Row],[_Pred2Text]]&amp;"-"))-1)),""))</f>
        <v/>
      </c>
      <c r="CT1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0" s="42" t="str">
        <f aca="false">IF(Tasks[[#This Row],[_Pred2Text]]="","",TRIM(MID(SUBSTITUTE(SUBSTITUTE(SUBSTITUTE(UPPER(Tasks[[#This Row],[_Predecessors]]),";",",")," ",""),",",REPT(" ",99)),199,99)))</f>
        <v/>
      </c>
      <c r="CW190" s="42" t="str">
        <f aca="false">IF(Tasks[[#This Row],[_Pred3Text]]="","",IFERROR(VALUE(LEFT(Tasks[[#This Row],[_Pred3Text]],MIN(FIND("F",Tasks[[#This Row],[_Pred3Text]]&amp;"F"),FIND("S",Tasks[[#This Row],[_Pred3Text]]&amp;"S"),FIND("+",Tasks[[#This Row],[_Pred3Text]]&amp;"+"),FIND("-",Tasks[[#This Row],[_Pred3Text]]&amp;"-"))-1)),""))</f>
        <v/>
      </c>
      <c r="CX1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0" s="42" t="str">
        <f aca="false">IF(Tasks[[#This Row],[_Pred3Text]]="","",TRIM(MID(SUBSTITUTE(SUBSTITUTE(SUBSTITUTE(UPPER(Tasks[[#This Row],[_Predecessors]]),";",",")," ",""),",",REPT(" ",99)),298,99)))</f>
        <v/>
      </c>
      <c r="DA190" s="42" t="str">
        <f aca="false">IF(Tasks[[#This Row],[_Pred4Text]]="","",IFERROR(VALUE(LEFT(Tasks[[#This Row],[_Pred4Text]],MIN(FIND("F",Tasks[[#This Row],[_Pred4Text]]&amp;"F"),FIND("S",Tasks[[#This Row],[_Pred4Text]]&amp;"S"),FIND("+",Tasks[[#This Row],[_Pred4Text]]&amp;"+"),FIND("-",Tasks[[#This Row],[_Pred4Text]]&amp;"-"))-1)),""))</f>
        <v/>
      </c>
      <c r="DB1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0" s="42" t="str">
        <f aca="false">IF(OR(Tasks[[#This Row],[Task Name]]="",Tasks[[#This Row],[_Resources]]=""),"",TRIM(MID(SUBSTITUTE(Tasks[[#This Row],[_Resources]],",",REPT(" ",99)),1,99)))</f>
        <v/>
      </c>
      <c r="DE190" s="42" t="str">
        <f aca="false">IF(Tasks[[#This Row],[_Res1Text]]="","",TRIM(MID(SUBSTITUTE(Tasks[[#This Row],[_Resources]],",",REPT(" ",99)),100,99)))</f>
        <v/>
      </c>
      <c r="DF190" s="42" t="str">
        <f aca="false">IF(Tasks[[#This Row],[_Res2Text]]="","",TRIM(MID(SUBSTITUTE(Tasks[[#This Row],[_Resources]],",",REPT(" ",99)),199,99)))</f>
        <v/>
      </c>
      <c r="DG190" s="42" t="str">
        <f aca="false">IF(Tasks[[#This Row],[_Res3Text]]="","",TRIM(MID(SUBSTITUTE(Tasks[[#This Row],[_Resources]],",",REPT(" ",99)),298,99)))</f>
        <v/>
      </c>
      <c r="DH190" s="42" t="n">
        <f aca="false">IF(Tasks[[#This Row],[_Res1Text]]="",0,IFERROR(MATCH(TRIM(LEFT(Tasks[[#This Row],[_Res1Text]],FIND("[",Tasks[[#This Row],[_Res1Text]]&amp;"[")-1)),res_Name,0),IFERROR(MATCH(TRIM(LEFT(Tasks[[#This Row],[_Res1Text]],FIND("[",Tasks[[#This Row],[_Res1Text]]&amp;"[")-1)),res_Initials,0),0)))</f>
        <v>0</v>
      </c>
      <c r="DI190" s="42" t="n">
        <f aca="false">IF(Tasks[[#This Row],[_Res2Text]]="",0,IFERROR(MATCH(TRIM(LEFT(Tasks[[#This Row],[_Res2Text]],FIND("[",Tasks[[#This Row],[_Res2Text]]&amp;"[")-1)),res_Name,0),IFERROR(MATCH(TRIM(LEFT(Tasks[[#This Row],[_Res2Text]],FIND("[",Tasks[[#This Row],[_Res2Text]]&amp;"[")-1)),res_Initials,0),0)))</f>
        <v>0</v>
      </c>
      <c r="DJ190" s="42" t="n">
        <f aca="false">IF(Tasks[[#This Row],[_Res3Text]]="",0,IFERROR(MATCH(TRIM(LEFT(Tasks[[#This Row],[_Res3Text]],FIND("[",Tasks[[#This Row],[_Res3Text]]&amp;"[")-1)),res_Name,0),IFERROR(MATCH(TRIM(LEFT(Tasks[[#This Row],[_Res3Text]],FIND("[",Tasks[[#This Row],[_Res3Text]]&amp;"[")-1)),res_Initials,0),0)))</f>
        <v>0</v>
      </c>
      <c r="DK190" s="42" t="n">
        <f aca="false">IF(Tasks[[#This Row],[_Res4Text]]="",0,IFERROR(MATCH(TRIM(LEFT(Tasks[[#This Row],[_Res4Text]],FIND("[",Tasks[[#This Row],[_Res4Text]]&amp;"[")-1)),res_Name,0),IFERROR(MATCH(TRIM(LEFT(Tasks[[#This Row],[_Res4Text]],FIND("[",Tasks[[#This Row],[_Res4Text]]&amp;"[")-1)),res_Initials,0),0)))</f>
        <v>0</v>
      </c>
      <c r="DL190" s="42" t="str">
        <f aca="false">IF(Tasks[[#This Row],[_Res1Text]]="","",IF(Tasks[[#This Row],[_Res1Row]]&gt;0,INDEX(res_Name,Tasks[[#This Row],[_Res1Row]]),TRIM(LEFT(Tasks[[#This Row],[_Res1Text]],FIND("[",Tasks[[#This Row],[_Res1Text]]&amp;"[")-1))))</f>
        <v/>
      </c>
      <c r="DM1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0" s="42" t="n">
        <f aca="false">IF(NOT(Tasks[[#This Row],[_IsLeaf]]=1),0,(Tasks[[#This Row],[_Resource1]]&lt;&gt;"")+(Tasks[[#This Row],[_Res2]]&lt;&gt;"")+(Tasks[[#This Row],[_Res3]]&lt;&gt;"")+(Tasks[[#This Row],[_Res4]]&lt;&gt;""))</f>
        <v>0</v>
      </c>
      <c r="DO190" s="42" t="str">
        <f aca="false">IF(Tasks[[#This Row],[_Res2Text]]="","",IF(Tasks[[#This Row],[_Res2Row]]&gt;0,INDEX(res_Name,Tasks[[#This Row],[_Res2Row]]),TRIM(LEFT(Tasks[[#This Row],[_Res2Text]],FIND("[",Tasks[[#This Row],[_Res2Text]]&amp;"[")-1))))</f>
        <v/>
      </c>
      <c r="DP1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0" s="42" t="n">
        <f aca="false">IF(OR(NOT(Tasks[[#This Row],[_IsLeaf]]=1),Tasks[[#This Row],[_Res2Row]]=0),0,N(Tasks[[#This Row],[_Days]])*HoursPerDay*IF(Tasks[[#This Row],[_Res2Units]]="",DefaultUnits,Tasks[[#This Row],[_Res2Units]]))</f>
        <v>0</v>
      </c>
      <c r="DR190" s="42" t="n">
        <f aca="false">IF(AND(AND(Tasks[[#This Row],[_IsLeaf]]=1,Tasks[[#This Row],[_LeafTotalWork]]&gt;0),Tasks[[#This Row],[_Res2Work]]&gt;0),Tasks[[#This Row],[_Res2Work]]/(Tasks[[#This Row],[_FinishWorkday]]-Tasks[[#This Row],[_StartWorkday]]+1),0)</f>
        <v>0</v>
      </c>
      <c r="DS190" s="42" t="n">
        <f aca="false">Tasks[[#This Row],[_Res2WorkPerWD]]*MAX(0,Tasks[[#This Row],[_StartWorkday]]-1)</f>
        <v>0</v>
      </c>
      <c r="DT190" s="42" t="n">
        <f aca="false">Tasks[[#This Row],[_Res2Work]]*Tasks[[#This Row],[_LeafProgress]]</f>
        <v>0</v>
      </c>
      <c r="DU190" s="42" t="str">
        <f aca="false">IF(Tasks[[#This Row],[_Res3Text]]="","",IF(Tasks[[#This Row],[_Res3Row]]&gt;0,INDEX(res_Name,Tasks[[#This Row],[_Res3Row]]),TRIM(LEFT(Tasks[[#This Row],[_Res3Text]],FIND("[",Tasks[[#This Row],[_Res3Text]]&amp;"[")-1))))</f>
        <v/>
      </c>
      <c r="DV1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0" s="42" t="n">
        <f aca="false">IF(OR(NOT(Tasks[[#This Row],[_IsLeaf]]=1),Tasks[[#This Row],[_Res3Row]]=0),0,N(Tasks[[#This Row],[_Days]])*HoursPerDay*IF(Tasks[[#This Row],[_Res3Units]]="",DefaultUnits,Tasks[[#This Row],[_Res3Units]]))</f>
        <v>0</v>
      </c>
      <c r="DX190" s="42" t="n">
        <f aca="false">IF(AND(AND(Tasks[[#This Row],[_IsLeaf]]=1,Tasks[[#This Row],[_LeafTotalWork]]&gt;0),Tasks[[#This Row],[_Res3Work]]&gt;0),Tasks[[#This Row],[_Res3Work]]/(Tasks[[#This Row],[_FinishWorkday]]-Tasks[[#This Row],[_StartWorkday]]+1),0)</f>
        <v>0</v>
      </c>
      <c r="DY190" s="42" t="n">
        <f aca="false">Tasks[[#This Row],[_Res3WorkPerWD]]*MAX(0,Tasks[[#This Row],[_StartWorkday]]-1)</f>
        <v>0</v>
      </c>
      <c r="DZ190" s="42" t="n">
        <f aca="false">Tasks[[#This Row],[_Res3Work]]*Tasks[[#This Row],[_LeafProgress]]</f>
        <v>0</v>
      </c>
      <c r="EA190" s="42" t="str">
        <f aca="false">IF(Tasks[[#This Row],[_Res4Text]]="","",IF(Tasks[[#This Row],[_Res4Row]]&gt;0,INDEX(res_Name,Tasks[[#This Row],[_Res4Row]]),TRIM(LEFT(Tasks[[#This Row],[_Res4Text]],FIND("[",Tasks[[#This Row],[_Res4Text]]&amp;"[")-1))))</f>
        <v/>
      </c>
      <c r="EB1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0" s="42" t="n">
        <f aca="false">IF(OR(NOT(Tasks[[#This Row],[_IsLeaf]]=1),Tasks[[#This Row],[_Res4Row]]=0),0,N(Tasks[[#This Row],[_Days]])*HoursPerDay*IF(Tasks[[#This Row],[_Res4Units]]="",DefaultUnits,Tasks[[#This Row],[_Res4Units]]))</f>
        <v>0</v>
      </c>
      <c r="ED190" s="42" t="n">
        <f aca="false">IF(AND(AND(Tasks[[#This Row],[_IsLeaf]]=1,Tasks[[#This Row],[_LeafTotalWork]]&gt;0),Tasks[[#This Row],[_Res4Work]]&gt;0),Tasks[[#This Row],[_Res4Work]]/(Tasks[[#This Row],[_FinishWorkday]]-Tasks[[#This Row],[_StartWorkday]]+1),0)</f>
        <v>0</v>
      </c>
      <c r="EE190" s="42" t="n">
        <f aca="false">Tasks[[#This Row],[_Res4WorkPerWD]]*MAX(0,Tasks[[#This Row],[_StartWorkday]]-1)</f>
        <v>0</v>
      </c>
      <c r="EF190" s="42" t="n">
        <f aca="false">Tasks[[#This Row],[_Res4Work]]*Tasks[[#This Row],[_LeafProgress]]</f>
        <v>0</v>
      </c>
      <c r="EG190" s="42" t="n">
        <f aca="false">IF(ISNUMBER(Tasks[[#This Row],[% Complete]]),Tasks[[#This Row],[% Complete]],IF(Tasks[[#This Row],[Stage]]="",0,IFERROR(INDEX(stg_Pct,MATCH(Tasks[[#This Row],[Stage]],stg_Name,0)),0)))</f>
        <v>0</v>
      </c>
      <c r="EH190" s="42" t="n">
        <f aca="false">IF(NOT(Tasks[[#This Row],[_IsLeaf]]=1),0,IF(N(Tasks[[#This Row],[Actual Finish]])&gt;0,1,MIN(1,Tasks[[#This Row],[_Pct]])))</f>
        <v>0</v>
      </c>
      <c r="EI190" s="42" t="n">
        <f aca="false">IF(OR(NOT(Tasks[[#This Row],[_IsLeaf]]=1),Tasks[[#This Row],[_Res1Row]]=0),0,N(Tasks[[#This Row],[_Days]])*HoursPerDay*IF(Tasks[[#This Row],[_Units1]]="",DefaultUnits,Tasks[[#This Row],[_Units1]]))</f>
        <v>0</v>
      </c>
      <c r="EJ190" s="42" t="n">
        <f aca="false">Tasks[[#This Row],[_LeafWork]]+Tasks[[#This Row],[_Res2Work]]+Tasks[[#This Row],[_Res3Work]]+Tasks[[#This Row],[_Res4Work]]</f>
        <v>0</v>
      </c>
      <c r="EK1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0" s="42" t="n">
        <f aca="false">IF(NOT(Tasks[[#This Row],[_IsLeaf]]=1),0,MAX(_xlfn.MAXIFS(Tasks[_Row],Tasks[_Pred1UID],Tasks[[#This Row],[UID]]),_xlfn.MAXIFS(Tasks[_Row],Tasks[_Pred2UID],Tasks[[#This Row],[UID]]),_xlfn.MAXIFS(Tasks[_Row],Tasks[_Pred3UID],Tasks[[#This Row],[UID]]),_xlfn.MAXIFS(Tasks[_Row],Tasks[_Pred4UID],Tasks[[#This Row],[UID]])))</f>
        <v>0</v>
      </c>
      <c r="ET1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0" s="89" t="str">
        <f aca="false">IF(NOT(Tasks[[#This Row],[_IsLeaf]]=1),"",IF(N(Tasks[[#This Row],[_Days]])&lt;=0,Tasks[[#This Row],[_LeafLateFinish]],WORKDAY.INTL(Tasks[[#This Row],[_LeafLateFinish]],-(Tasks[[#This Row],[_Days]]-1),WorkWeek,Holidays)))</f>
        <v/>
      </c>
      <c r="EW1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0" s="88" t="b">
        <f aca="false">AND(Tasks[[#This Row],[_IsLeaf]]=1,Tasks[[#This Row],[_LeafProgress]]&lt;1,N(Tasks[[#This Row],[_LeafTotalSlack]])&lt;=CriticalSlackDays)</f>
        <v>0</v>
      </c>
      <c r="EY190" s="42" t="n">
        <f aca="false">IF(AND(Tasks[[#This Row],[_IsLeaf]]=1,Tasks[[#This Row],[_ConstraintCode]]=1,Tasks[[#This Row],[Mode]]&lt;&gt;"Manual",N(Tasks[[#This Row],[Actual Start]])=0),MAX(0,N(Tasks[[#This Row],[Free Slack]])),0)</f>
        <v>0</v>
      </c>
      <c r="EZ190" s="89" t="str">
        <f aca="false">IF(NOT(Tasks[[#This Row],[_IsLeaf]]=1),"",IF(Tasks[[#This Row],[_AlapShift]]=0,Tasks[[#This Row],[_LeafCalcStart]],WORKDAY.INTL(Tasks[[#This Row],[_LeafCalcStart]],Tasks[[#This Row],[_AlapShift]],WorkWeek,Holidays)))</f>
        <v/>
      </c>
      <c r="FA190" s="89" t="str">
        <f aca="false">IF(NOT(Tasks[[#This Row],[_IsLeaf]]=1),"",IF(Tasks[[#This Row],[_AlapShift]]=0,Tasks[[#This Row],[_LeafCalcFinish]],WORKDAY.INTL(Tasks[[#This Row],[_LeafCalcFinish]],Tasks[[#This Row],[_AlapShift]],WorkWeek,Holidays)))</f>
        <v/>
      </c>
      <c r="FB190" s="89" t="str">
        <f aca="false">IF(NOT(Tasks[[#This Row],[_IsLeaf]]=1),"",IF(Tasks[[#This Row],[_AlapShift]]=0,Tasks[[#This Row],[_LeafFcstStart]],WORKDAY.INTL(Tasks[[#This Row],[_LeafFcstStart]],Tasks[[#This Row],[_AlapShift]],WorkWeek,Holidays)))</f>
        <v/>
      </c>
      <c r="FC190" s="89" t="str">
        <f aca="false">IF(NOT(Tasks[[#This Row],[_IsLeaf]]=1),"",IF(Tasks[[#This Row],[_AlapShift]]=0,Tasks[[#This Row],[_LeafFcstFinish]],WORKDAY.INTL(Tasks[[#This Row],[_LeafFcstFinish]],Tasks[[#This Row],[_AlapShift]],WorkWeek,Holidays)))</f>
        <v/>
      </c>
      <c r="FD190" s="89" t="str">
        <f aca="false">IF(Tasks[[#This Row],[Task Name]]="","",IF(Tasks[[#This Row],[_IsSummary]],MIN(INDEX(Tasks[_ShownCalcStart],Tasks[[#This Row],[_Row]]+1):INDEX(Tasks[_ShownCalcStart],Tasks[[#This Row],[_Row]]+Tasks[[#This Row],[_Descendants]])),Tasks[[#This Row],[_ShownCalcStart]]))</f>
        <v/>
      </c>
      <c r="FE190" s="89" t="str">
        <f aca="false">IF(Tasks[[#This Row],[Task Name]]="","",IF(Tasks[[#This Row],[_IsSummary]],MAX(INDEX(Tasks[_ShownCalcFinish],Tasks[[#This Row],[_Row]]+1):INDEX(Tasks[_ShownCalcFinish],Tasks[[#This Row],[_Row]]+Tasks[[#This Row],[_Descendants]])),Tasks[[#This Row],[_ShownCalcFinish]]))</f>
        <v/>
      </c>
      <c r="FF1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0" s="42" t="n">
        <f aca="false">IF(AND(Tasks[[#This Row],[_IsLeaf]]=1,Tasks[[#This Row],[_LeafTotalWork]]&gt;0),NETWORKDAYS.INTL(ProjectStart,Tasks[[#This Row],[_ShownFcstStart]],WorkWeek,Holidays),0)</f>
        <v>0</v>
      </c>
      <c r="FS190" s="42" t="n">
        <f aca="false">IF(AND(Tasks[[#This Row],[_IsLeaf]]=1,Tasks[[#This Row],[_LeafTotalWork]]&gt;0),MAX(Tasks[[#This Row],[_StartWorkday]],NETWORKDAYS.INTL(ProjectStart,Tasks[[#This Row],[_ShownFcstFinish]],WorkWeek,Holidays)),0)</f>
        <v>0</v>
      </c>
      <c r="FT190" s="42" t="n">
        <f aca="false">IF(AND(Tasks[[#This Row],[_IsLeaf]]=1,Tasks[[#This Row],[_LeafTotalWork]]&gt;0),Tasks[[#This Row],[_LeafWork]]/(Tasks[[#This Row],[_FinishWorkday]]-Tasks[[#This Row],[_StartWorkday]]+1),0)</f>
        <v>0</v>
      </c>
      <c r="FU190" s="42" t="n">
        <f aca="false">Tasks[[#This Row],[_WorkPerWorkday]]*(Tasks[[#This Row],[_StartWorkday]]-1)</f>
        <v>-0</v>
      </c>
      <c r="FV190" s="42" t="n">
        <f aca="false">IF(Tasks[[#This Row],[_IsLeaf]]=1,MAX(N(Tasks[[#This Row],[_Days]]),0.1),0)</f>
        <v>0</v>
      </c>
      <c r="FW190" s="42" t="n">
        <f aca="false">Tasks[[#This Row],[_WeightDur]]*Tasks[[#This Row],[_LeafProgress]]</f>
        <v>0</v>
      </c>
      <c r="FX190" s="42" t="n">
        <f aca="false">Tasks[[#This Row],[_WeightDur]]*Tasks[[#This Row],[_PlannedPct]]</f>
        <v>0</v>
      </c>
      <c r="FY1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0" s="42" t="str">
        <f aca="false">IF(AND(Tasks[[#This Row],[_IsLeaf]]=1,N(Tasks[[#This Row],[_Days]])=0,Tasks[[#This Row],[_LeafProgress]]&lt;1),Tasks[[#This Row],[_ShownFcstFinish]]+Tasks[[#This Row],[_Row]]/100000,"")</f>
        <v/>
      </c>
      <c r="GA1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0" s="42" t="str">
        <f aca="false">IF(Tasks[[#This Row],[Task Name]]="","",LEFT(Tasks[[#This Row],[WBS]],FIND(".",Tasks[[#This Row],[WBS]]&amp;".")-1))</f>
        <v/>
      </c>
      <c r="GC190" s="42" t="str">
        <f aca="false">IF(AND(Tasks[[#This Row],[Task Name]]&lt;&gt;"",Tasks[[#This Row],[_Level]]=1),Tasks[[#This Row],[_Row]],"")</f>
        <v/>
      </c>
      <c r="GD190" s="42" t="str">
        <f aca="false">IF(AND(Tasks[[#This Row],[_IsLeaf]]=1,N(Tasks[[#This Row],[_Days]])=0),Tasks[[#This Row],[Planned Finish]]+Tasks[[#This Row],[_Row]]/100000,"")</f>
        <v/>
      </c>
      <c r="GE190" s="42" t="str">
        <f aca="false">IF(AND(Tasks[[#This Row],[_IsLeaf]]=1,Tasks[[#This Row],[_LeafProgress]]&lt;1,OR(N(Tasks[[#This Row],[Finish Var]])&gt;0,Tasks[[#This Row],[Status]]="Late Start")),MAX(0,Tasks[[#This Row],[Finish Var]])+1-Tasks[[#This Row],[_Row]]/1000000,"")</f>
        <v/>
      </c>
      <c r="GF190" s="42" t="str">
        <f aca="false">IF(AND(Tasks[[#This Row],[_IsLeaf]]=1,N(Tasks[[#This Row],[Actual Start]])=0,Tasks[[#This Row],[_ShownFcstStart]]&gt;=StatusDate,Tasks[[#This Row],[_ShownFcstStart]]&lt;=LookaheadEnd),Tasks[[#This Row],[_ShownFcstStart]]+Tasks[[#This Row],[_Row]]/100000,"")</f>
        <v/>
      </c>
      <c r="GG190" s="42" t="str">
        <f aca="false">IF(AND(Tasks[[#This Row],[_IsLeaf]]=1,Tasks[[#This Row],[_LeafProgress]]&lt;1,Tasks[[#This Row],[_ShownFcstFinish]]&gt;=StatusDate,Tasks[[#This Row],[_ShownFcstFinish]]&lt;=LookaheadEnd),Tasks[[#This Row],[_ShownFcstFinish]]+Tasks[[#This Row],[_Row]]/100000,"")</f>
        <v/>
      </c>
      <c r="GH190" s="42" t="str">
        <f aca="false">IF(Tasks[[#This Row],[_LeafCritical]],Tasks[[#This Row],[_ShownFcstStart]]+Tasks[[#This Row],[_Row]]/100000,"")</f>
        <v/>
      </c>
      <c r="GI190" s="42" t="n">
        <f aca="false">Tasks[[#This Row],[_LeafWork]]*Tasks[[#This Row],[_LeafProgress]]</f>
        <v>0</v>
      </c>
      <c r="GJ190" s="89" t="str">
        <f aca="false">IF(AND(Tasks[[#This Row],[_IsLeaf]]=1,Tasks[[#This Row],[_LeafProgress]]&gt;=1),IF(N(Tasks[[#This Row],[Actual Finish]])&gt;0,Tasks[[#This Row],[Actual Finish]],Tasks[[#This Row],[_ShownFcstFinish]]),"")</f>
        <v/>
      </c>
      <c r="GK190" s="42" t="n">
        <f aca="false">IF(Tasks[[#This Row],[_IsLeaf]]=1,N(Tasks[[#This Row],[Story Points]]),0)</f>
        <v>0</v>
      </c>
      <c r="GL190" s="42" t="str">
        <f aca="false">""</f>
        <v/>
      </c>
      <c r="GM190" s="88" t="b">
        <f aca="false">IF(Tasks[[#This Row],[Task Name]]="",FALSE(),AND(Tasks[[#This Row],[_IsLeaf]]=1,N(Tasks[[#This Row],[_Days]])=0))</f>
        <v>0</v>
      </c>
      <c r="GN190" s="89" t="n">
        <f aca="false">IF(Tasks[[#This Row],[Task Name]]="",0,IF(AND(Tasks[[#This Row],[_IsLeaf]]=1,NOT(Tasks[[#This Row],[_IsMilestone]]),N(Tasks[[#This Row],[Progress]])&gt;0),Tasks[[#This Row],[Start]],0))</f>
        <v>0</v>
      </c>
      <c r="GO190" s="89" t="n">
        <f aca="false">IF(Tasks[[#This Row],[_DoneFrom]]=0,0,IF(Tasks[[#This Row],[Progress]]&gt;=1,Tasks[[#This Row],[Finish]],MAX(Tasks[[#This Row],[_DoneFrom]],Tasks[[#This Row],[Start]]+ROUND((Tasks[[#This Row],[Finish]]-Tasks[[#This Row],[Start]]+1)*Tasks[[#This Row],[Progress]],0)-1)))</f>
        <v>0</v>
      </c>
      <c r="GP190" s="89" t="n">
        <f aca="false">IF(Tasks[[#This Row],[Task Name]]="",0,IF(OR(NOT(Tasks[[#This Row],[_IsLeaf]]=1),Tasks[[#This Row],[_IsMilestone]],N(Tasks[[#This Row],[Progress]])&gt;=1),0,IF(Tasks[[#This Row],[_DoneTo]]&gt;0,Tasks[[#This Row],[_DoneTo]]+1,Tasks[[#This Row],[Start]])))</f>
        <v>0</v>
      </c>
      <c r="GQ190" s="89" t="n">
        <f aca="false">IF(Tasks[[#This Row],[_RemFrom]]=0,0,Tasks[[#This Row],[Finish]])</f>
        <v>0</v>
      </c>
      <c r="GR190" s="88" t="b">
        <f aca="false">IF(Tasks[[#This Row],[Task Name]]="",FALSE(),OR(NOT(BaselineSet),N(Tasks[[#This Row],[Baseline Start]])&gt;0))</f>
        <v>0</v>
      </c>
      <c r="GS1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0" s="90" t="str">
        <f aca="false">IF(Tasks[[#This Row],[_IsLeaf]]=1,Tasks[[#This Row],[_Row]],"")</f>
        <v/>
      </c>
      <c r="GW190" s="90" t="str">
        <f aca="false">IFERROR(INDEX(Tasks[UID],SMALL(Tasks[_PickKey],Tasks[[#This Row],[_Row]]))&amp;" "&amp;INDEX(Tasks[Task Name],SMALL(Tasks[_PickKey],Tasks[[#This Row],[_Row]])),"")</f>
        <v/>
      </c>
      <c r="GX190" s="42" t="str">
        <f aca="false">IF(Tasks[[#This Row],[Task Name]]="","",IF(Tasks[[#This Row],[_IsSummary]],NETWORKDAYS.INTL(Tasks[[#This Row],[Start]],Tasks[[#This Row],[Finish]],WorkWeek,Holidays),N(Tasks[[#This Row],[_Days]])))</f>
        <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3"/>
      <c r="U191" s="23"/>
      <c r="V191" s="83"/>
      <c r="W191" s="23"/>
      <c r="X191" s="83"/>
      <c r="Y191" s="23"/>
      <c r="Z191" s="83"/>
      <c r="AA191" s="23"/>
      <c r="AB191" s="23"/>
      <c r="AC191" s="7"/>
      <c r="AD191" s="7"/>
      <c r="AE191" s="62" t="str">
        <f aca="false">IF(Tasks[[#This Row],[Task Name]]="","",IF(Tasks[[#This Row],[_IsSummary]],MIN(INDEX(Tasks[_ShownFcstStart],Tasks[[#This Row],[_Row]]+1):INDEX(Tasks[_ShownFcstStart],Tasks[[#This Row],[_Row]]+Tasks[[#This Row],[_Descendants]])),Tasks[[#This Row],[_ShownFcstStart]]))</f>
        <v/>
      </c>
      <c r="AF191" s="62"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1" s="7"/>
      <c r="AK191" s="22"/>
      <c r="AL191" s="23"/>
      <c r="AM191" s="7"/>
      <c r="AN191" s="46"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2" t="str">
        <f aca="false">IF(Tasks[[#This Row],[Task Name]]="","",IF(N(Tasks[[#This Row],[Baseline Start]])&gt;0,Tasks[[#This Row],[Baseline Start]],Tasks[[#This Row],[_CalcStart]]))</f>
        <v/>
      </c>
      <c r="AR191" s="62" t="str">
        <f aca="false">IF(Tasks[[#This Row],[Task Name]]="","",IF(N(Tasks[[#This Row],[Baseline Finish]])&gt;0,Tasks[[#This Row],[Baseline Finish]],Tasks[[#This Row],[_CalcFinish]]))</f>
        <v/>
      </c>
      <c r="AS191" s="46" t="str">
        <f aca="false">IF(Tasks[[#This Row],[Task Name]]="","",IF(Tasks[[#This Row],[Start]]&gt;=Tasks[[#This Row],[Planned Start]],NETWORKDAYS.INTL(Tasks[[#This Row],[Planned Start]],Tasks[[#This Row],[Start]],WorkWeek,Holidays)-1,1-NETWORKDAYS.INTL(Tasks[[#This Row],[Start]],Tasks[[#This Row],[Planned Start]],WorkWeek,Holidays)))</f>
        <v/>
      </c>
      <c r="AT191" s="62" t="str">
        <f aca="false">IF(Tasks[[#This Row],[Task Name]]="","",IF(Tasks[[#This Row],[_IsSummary]],MIN(INDEX(Tasks[_LeafLateStart],Tasks[[#This Row],[_Row]]+1):INDEX(Tasks[_LeafLateStart],Tasks[[#This Row],[_Row]]+Tasks[[#This Row],[_Descendants]])),Tasks[[#This Row],[_LeafLateStart]]))</f>
        <v/>
      </c>
      <c r="AU191" s="62" t="str">
        <f aca="false">IF(Tasks[[#This Row],[Task Name]]="","",IF(Tasks[[#This Row],[_IsSummary]],MAX(INDEX(Tasks[_LeafLateFinish],Tasks[[#This Row],[_Row]]+1):INDEX(Tasks[_LeafLateFinish],Tasks[[#This Row],[_Row]]+Tasks[[#This Row],[_Descendants]])),Tasks[[#This Row],[_LeafLateFinish]]))</f>
        <v/>
      </c>
      <c r="AV191" s="46"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4"/>
      <c r="BA1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5"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6"/>
      <c r="BJ191" s="22"/>
      <c r="BK191" s="46" t="str">
        <f aca="false">IF(OR(Tasks[[#This Row],[Task Name]]="",Tasks[[#This Row],[Baseline Duration]]=""),"",Tasks[[#This Row],[_SpanDays]]-N(Tasks[[#This Row],[Baseline Duration]]))</f>
        <v/>
      </c>
      <c r="BL191" s="85" t="str">
        <f aca="false">IF(OR(Tasks[[#This Row],[Task Name]]="",Tasks[[#This Row],[Baseline Work]]=""),"",Tasks[[#This Row],[Work]]-N(Tasks[[#This Row],[Baseline Work]]))</f>
        <v/>
      </c>
      <c r="BM191" s="62" t="str">
        <f aca="false">IF(Tasks[[#This Row],[Task Name]]="","",IF(OR(TakeBaseline="Yes",N(Tasks[[#This Row],[Baseline Start]])=0),Tasks[[#This Row],[Start]],Tasks[[#This Row],[Baseline Start]]))</f>
        <v/>
      </c>
      <c r="BN191" s="62"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5" t="str">
        <f aca="false">IF(Tasks[[#This Row],[Task Name]]="","",IF(OR(TakeBaseline="Yes",N(Tasks[[#This Row],[Baseline Work]])=0),Tasks[[#This Row],[Work]],Tasks[[#This Row],[Baseline Work]]))</f>
        <v/>
      </c>
      <c r="BQ191" s="7"/>
      <c r="BR191" s="7"/>
      <c r="BS191" s="22"/>
      <c r="BT191" s="87"/>
      <c r="BU191" s="42" t="str">
        <f aca="false">IF(Tasks[[#This Row],[Task Name]]="","",MAX(1,N(Tasks[[#This Row],[Level]])))</f>
        <v/>
      </c>
      <c r="BV191" s="42" t="n">
        <f aca="false">ROW()-ROW(Tasks[[#Headers],[ID]])</f>
        <v>186</v>
      </c>
      <c r="BW191" s="42" t="n">
        <f aca="false">IF(OR(Tasks[[#This Row],[Task Name]]="",Tasks[[#This Row],[_Level]]&lt;=1),0,IFERROR(LOOKUP(2,1/(Tasks[[#Headers],[_Level]]:Tasks[[#This Row],[_Level]]=Tasks[[#This Row],[_Level]]-1),ROW(Tasks[[#Headers],[_Level]]:Tasks[[#This Row],[_Level]])),0))</f>
        <v>0</v>
      </c>
      <c r="BX191" s="42" t="n">
        <f aca="false">IFERROR(N(INDEX(Tasks[_Level],Tasks[[#This Row],[_Row]]+1)),0)</f>
        <v>0</v>
      </c>
      <c r="BY191" s="88" t="b">
        <f aca="false">AND(Tasks[[#This Row],[Task Name]]&lt;&gt;"",Tasks[[#This Row],[_NextLevel]]&gt;Tasks[[#This Row],[_Level]])</f>
        <v>0</v>
      </c>
      <c r="BZ191" s="42" t="n">
        <f aca="false">IF(Tasks[[#This Row],[_IsSummary]],COUNTIF(Tasks[WBS],Tasks[[#This Row],[WBS]]&amp;".*"),0)</f>
        <v>0</v>
      </c>
      <c r="CA191" s="42" t="n">
        <f aca="false">IF(AND(Tasks[[#This Row],[Task Name]]&lt;&gt;"",NOT(Tasks[[#This Row],[_IsSummary]])),1,0)</f>
        <v>0</v>
      </c>
      <c r="CB191" s="42" t="n">
        <f aca="false">IF(N(Tasks[[#This Row],[_Pred1UID]])=0,0,IFERROR(MATCH(Tasks[[#This Row],[_Pred1UID]],Tasks[UID],0),-1))</f>
        <v>0</v>
      </c>
      <c r="CC191" s="42" t="n">
        <f aca="false">IF(N(Tasks[[#This Row],[_Pred2UID]])=0,0,IFERROR(MATCH(Tasks[[#This Row],[_Pred2UID]],Tasks[UID],0),-1))</f>
        <v>0</v>
      </c>
      <c r="CD191" s="42" t="n">
        <f aca="false">IF(N(Tasks[[#This Row],[_Pred3UID]])=0,0,IFERROR(MATCH(Tasks[[#This Row],[_Pred3UID]],Tasks[UID],0),-1))</f>
        <v>0</v>
      </c>
      <c r="CE191" s="42" t="n">
        <f aca="false">IF(N(Tasks[[#This Row],[_Pred4UID]])=0,0,IFERROR(MATCH(Tasks[[#This Row],[_Pred4UID]],Tasks[UID],0),-1))</f>
        <v>0</v>
      </c>
      <c r="CF1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1" s="89" t="n">
        <f aca="false">IF(OR(Tasks[[#This Row],[_ConstraintCode]]=2,Tasks[[#This Row],[_ConstraintCode]]=3,Tasks[[#This Row],[_ConstraintCode]]=4,Tasks[[#This Row],[_ConstraintCode]]=6),Tasks[[#This Row],[_ConstraintStart]],0)</f>
        <v>0</v>
      </c>
      <c r="CI191" s="89" t="n">
        <f aca="false">IF(OR(Tasks[[#This Row],[_ConstraintCode]]=2,Tasks[[#This Row],[_ConstraintCode]]=3,Tasks[[#This Row],[_ConstraintCode]]=5,Tasks[[#This Row],[_ConstraintCode]]=7),Tasks[[#This Row],[_ConstraintStart]],2958465)</f>
        <v>2958465</v>
      </c>
      <c r="CJ1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1" s="89" t="str">
        <f aca="false">IF(NOT(Tasks[[#This Row],[_IsLeaf]]=1),"",IF(N(Tasks[[#This Row],[_Days]])&lt;=0,Tasks[[#This Row],[_LeafCalcStart]],WORKDAY.INTL(Tasks[[#This Row],[_LeafCalcStart]],Tasks[[#This Row],[_Days]]-1,WorkWeek,Holidays)))</f>
        <v/>
      </c>
      <c r="CL1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1" s="42" t="str">
        <f aca="false">IF(Tasks[[#This Row],[_Predecessors]]="","",TRIM(MID(SUBSTITUTE(SUBSTITUTE(SUBSTITUTE(UPPER(Tasks[[#This Row],[_Predecessors]]),";",",")," ",""),",",REPT(" ",99)),1,99)))</f>
        <v/>
      </c>
      <c r="CO191" s="42" t="str">
        <f aca="false">IF(Tasks[[#This Row],[_Pred1Text]]="","",IFERROR(VALUE(LEFT(Tasks[[#This Row],[_Pred1Text]],MIN(FIND("F",Tasks[[#This Row],[_Pred1Text]]&amp;"F"),FIND("S",Tasks[[#This Row],[_Pred1Text]]&amp;"S"),FIND("+",Tasks[[#This Row],[_Pred1Text]]&amp;"+"),FIND("-",Tasks[[#This Row],[_Pred1Text]]&amp;"-"))-1)),""))</f>
        <v/>
      </c>
      <c r="CP1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1" s="42" t="str">
        <f aca="false">IF(Tasks[[#This Row],[_Pred1Text]]="","",TRIM(MID(SUBSTITUTE(SUBSTITUTE(SUBSTITUTE(UPPER(Tasks[[#This Row],[_Predecessors]]),";",",")," ",""),",",REPT(" ",99)),100,99)))</f>
        <v/>
      </c>
      <c r="CS191" s="42" t="str">
        <f aca="false">IF(Tasks[[#This Row],[_Pred2Text]]="","",IFERROR(VALUE(LEFT(Tasks[[#This Row],[_Pred2Text]],MIN(FIND("F",Tasks[[#This Row],[_Pred2Text]]&amp;"F"),FIND("S",Tasks[[#This Row],[_Pred2Text]]&amp;"S"),FIND("+",Tasks[[#This Row],[_Pred2Text]]&amp;"+"),FIND("-",Tasks[[#This Row],[_Pred2Text]]&amp;"-"))-1)),""))</f>
        <v/>
      </c>
      <c r="CT1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1" s="42" t="str">
        <f aca="false">IF(Tasks[[#This Row],[_Pred2Text]]="","",TRIM(MID(SUBSTITUTE(SUBSTITUTE(SUBSTITUTE(UPPER(Tasks[[#This Row],[_Predecessors]]),";",",")," ",""),",",REPT(" ",99)),199,99)))</f>
        <v/>
      </c>
      <c r="CW191" s="42" t="str">
        <f aca="false">IF(Tasks[[#This Row],[_Pred3Text]]="","",IFERROR(VALUE(LEFT(Tasks[[#This Row],[_Pred3Text]],MIN(FIND("F",Tasks[[#This Row],[_Pred3Text]]&amp;"F"),FIND("S",Tasks[[#This Row],[_Pred3Text]]&amp;"S"),FIND("+",Tasks[[#This Row],[_Pred3Text]]&amp;"+"),FIND("-",Tasks[[#This Row],[_Pred3Text]]&amp;"-"))-1)),""))</f>
        <v/>
      </c>
      <c r="CX1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1" s="42" t="str">
        <f aca="false">IF(Tasks[[#This Row],[_Pred3Text]]="","",TRIM(MID(SUBSTITUTE(SUBSTITUTE(SUBSTITUTE(UPPER(Tasks[[#This Row],[_Predecessors]]),";",",")," ",""),",",REPT(" ",99)),298,99)))</f>
        <v/>
      </c>
      <c r="DA191" s="42" t="str">
        <f aca="false">IF(Tasks[[#This Row],[_Pred4Text]]="","",IFERROR(VALUE(LEFT(Tasks[[#This Row],[_Pred4Text]],MIN(FIND("F",Tasks[[#This Row],[_Pred4Text]]&amp;"F"),FIND("S",Tasks[[#This Row],[_Pred4Text]]&amp;"S"),FIND("+",Tasks[[#This Row],[_Pred4Text]]&amp;"+"),FIND("-",Tasks[[#This Row],[_Pred4Text]]&amp;"-"))-1)),""))</f>
        <v/>
      </c>
      <c r="DB1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1" s="42" t="str">
        <f aca="false">IF(OR(Tasks[[#This Row],[Task Name]]="",Tasks[[#This Row],[_Resources]]=""),"",TRIM(MID(SUBSTITUTE(Tasks[[#This Row],[_Resources]],",",REPT(" ",99)),1,99)))</f>
        <v/>
      </c>
      <c r="DE191" s="42" t="str">
        <f aca="false">IF(Tasks[[#This Row],[_Res1Text]]="","",TRIM(MID(SUBSTITUTE(Tasks[[#This Row],[_Resources]],",",REPT(" ",99)),100,99)))</f>
        <v/>
      </c>
      <c r="DF191" s="42" t="str">
        <f aca="false">IF(Tasks[[#This Row],[_Res2Text]]="","",TRIM(MID(SUBSTITUTE(Tasks[[#This Row],[_Resources]],",",REPT(" ",99)),199,99)))</f>
        <v/>
      </c>
      <c r="DG191" s="42" t="str">
        <f aca="false">IF(Tasks[[#This Row],[_Res3Text]]="","",TRIM(MID(SUBSTITUTE(Tasks[[#This Row],[_Resources]],",",REPT(" ",99)),298,99)))</f>
        <v/>
      </c>
      <c r="DH191" s="42" t="n">
        <f aca="false">IF(Tasks[[#This Row],[_Res1Text]]="",0,IFERROR(MATCH(TRIM(LEFT(Tasks[[#This Row],[_Res1Text]],FIND("[",Tasks[[#This Row],[_Res1Text]]&amp;"[")-1)),res_Name,0),IFERROR(MATCH(TRIM(LEFT(Tasks[[#This Row],[_Res1Text]],FIND("[",Tasks[[#This Row],[_Res1Text]]&amp;"[")-1)),res_Initials,0),0)))</f>
        <v>0</v>
      </c>
      <c r="DI191" s="42" t="n">
        <f aca="false">IF(Tasks[[#This Row],[_Res2Text]]="",0,IFERROR(MATCH(TRIM(LEFT(Tasks[[#This Row],[_Res2Text]],FIND("[",Tasks[[#This Row],[_Res2Text]]&amp;"[")-1)),res_Name,0),IFERROR(MATCH(TRIM(LEFT(Tasks[[#This Row],[_Res2Text]],FIND("[",Tasks[[#This Row],[_Res2Text]]&amp;"[")-1)),res_Initials,0),0)))</f>
        <v>0</v>
      </c>
      <c r="DJ191" s="42" t="n">
        <f aca="false">IF(Tasks[[#This Row],[_Res3Text]]="",0,IFERROR(MATCH(TRIM(LEFT(Tasks[[#This Row],[_Res3Text]],FIND("[",Tasks[[#This Row],[_Res3Text]]&amp;"[")-1)),res_Name,0),IFERROR(MATCH(TRIM(LEFT(Tasks[[#This Row],[_Res3Text]],FIND("[",Tasks[[#This Row],[_Res3Text]]&amp;"[")-1)),res_Initials,0),0)))</f>
        <v>0</v>
      </c>
      <c r="DK191" s="42" t="n">
        <f aca="false">IF(Tasks[[#This Row],[_Res4Text]]="",0,IFERROR(MATCH(TRIM(LEFT(Tasks[[#This Row],[_Res4Text]],FIND("[",Tasks[[#This Row],[_Res4Text]]&amp;"[")-1)),res_Name,0),IFERROR(MATCH(TRIM(LEFT(Tasks[[#This Row],[_Res4Text]],FIND("[",Tasks[[#This Row],[_Res4Text]]&amp;"[")-1)),res_Initials,0),0)))</f>
        <v>0</v>
      </c>
      <c r="DL191" s="42" t="str">
        <f aca="false">IF(Tasks[[#This Row],[_Res1Text]]="","",IF(Tasks[[#This Row],[_Res1Row]]&gt;0,INDEX(res_Name,Tasks[[#This Row],[_Res1Row]]),TRIM(LEFT(Tasks[[#This Row],[_Res1Text]],FIND("[",Tasks[[#This Row],[_Res1Text]]&amp;"[")-1))))</f>
        <v/>
      </c>
      <c r="DM1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1" s="42" t="n">
        <f aca="false">IF(NOT(Tasks[[#This Row],[_IsLeaf]]=1),0,(Tasks[[#This Row],[_Resource1]]&lt;&gt;"")+(Tasks[[#This Row],[_Res2]]&lt;&gt;"")+(Tasks[[#This Row],[_Res3]]&lt;&gt;"")+(Tasks[[#This Row],[_Res4]]&lt;&gt;""))</f>
        <v>0</v>
      </c>
      <c r="DO191" s="42" t="str">
        <f aca="false">IF(Tasks[[#This Row],[_Res2Text]]="","",IF(Tasks[[#This Row],[_Res2Row]]&gt;0,INDEX(res_Name,Tasks[[#This Row],[_Res2Row]]),TRIM(LEFT(Tasks[[#This Row],[_Res2Text]],FIND("[",Tasks[[#This Row],[_Res2Text]]&amp;"[")-1))))</f>
        <v/>
      </c>
      <c r="DP1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1" s="42" t="n">
        <f aca="false">IF(OR(NOT(Tasks[[#This Row],[_IsLeaf]]=1),Tasks[[#This Row],[_Res2Row]]=0),0,N(Tasks[[#This Row],[_Days]])*HoursPerDay*IF(Tasks[[#This Row],[_Res2Units]]="",DefaultUnits,Tasks[[#This Row],[_Res2Units]]))</f>
        <v>0</v>
      </c>
      <c r="DR191" s="42" t="n">
        <f aca="false">IF(AND(AND(Tasks[[#This Row],[_IsLeaf]]=1,Tasks[[#This Row],[_LeafTotalWork]]&gt;0),Tasks[[#This Row],[_Res2Work]]&gt;0),Tasks[[#This Row],[_Res2Work]]/(Tasks[[#This Row],[_FinishWorkday]]-Tasks[[#This Row],[_StartWorkday]]+1),0)</f>
        <v>0</v>
      </c>
      <c r="DS191" s="42" t="n">
        <f aca="false">Tasks[[#This Row],[_Res2WorkPerWD]]*MAX(0,Tasks[[#This Row],[_StartWorkday]]-1)</f>
        <v>0</v>
      </c>
      <c r="DT191" s="42" t="n">
        <f aca="false">Tasks[[#This Row],[_Res2Work]]*Tasks[[#This Row],[_LeafProgress]]</f>
        <v>0</v>
      </c>
      <c r="DU191" s="42" t="str">
        <f aca="false">IF(Tasks[[#This Row],[_Res3Text]]="","",IF(Tasks[[#This Row],[_Res3Row]]&gt;0,INDEX(res_Name,Tasks[[#This Row],[_Res3Row]]),TRIM(LEFT(Tasks[[#This Row],[_Res3Text]],FIND("[",Tasks[[#This Row],[_Res3Text]]&amp;"[")-1))))</f>
        <v/>
      </c>
      <c r="DV1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1" s="42" t="n">
        <f aca="false">IF(OR(NOT(Tasks[[#This Row],[_IsLeaf]]=1),Tasks[[#This Row],[_Res3Row]]=0),0,N(Tasks[[#This Row],[_Days]])*HoursPerDay*IF(Tasks[[#This Row],[_Res3Units]]="",DefaultUnits,Tasks[[#This Row],[_Res3Units]]))</f>
        <v>0</v>
      </c>
      <c r="DX191" s="42" t="n">
        <f aca="false">IF(AND(AND(Tasks[[#This Row],[_IsLeaf]]=1,Tasks[[#This Row],[_LeafTotalWork]]&gt;0),Tasks[[#This Row],[_Res3Work]]&gt;0),Tasks[[#This Row],[_Res3Work]]/(Tasks[[#This Row],[_FinishWorkday]]-Tasks[[#This Row],[_StartWorkday]]+1),0)</f>
        <v>0</v>
      </c>
      <c r="DY191" s="42" t="n">
        <f aca="false">Tasks[[#This Row],[_Res3WorkPerWD]]*MAX(0,Tasks[[#This Row],[_StartWorkday]]-1)</f>
        <v>0</v>
      </c>
      <c r="DZ191" s="42" t="n">
        <f aca="false">Tasks[[#This Row],[_Res3Work]]*Tasks[[#This Row],[_LeafProgress]]</f>
        <v>0</v>
      </c>
      <c r="EA191" s="42" t="str">
        <f aca="false">IF(Tasks[[#This Row],[_Res4Text]]="","",IF(Tasks[[#This Row],[_Res4Row]]&gt;0,INDEX(res_Name,Tasks[[#This Row],[_Res4Row]]),TRIM(LEFT(Tasks[[#This Row],[_Res4Text]],FIND("[",Tasks[[#This Row],[_Res4Text]]&amp;"[")-1))))</f>
        <v/>
      </c>
      <c r="EB1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1" s="42" t="n">
        <f aca="false">IF(OR(NOT(Tasks[[#This Row],[_IsLeaf]]=1),Tasks[[#This Row],[_Res4Row]]=0),0,N(Tasks[[#This Row],[_Days]])*HoursPerDay*IF(Tasks[[#This Row],[_Res4Units]]="",DefaultUnits,Tasks[[#This Row],[_Res4Units]]))</f>
        <v>0</v>
      </c>
      <c r="ED191" s="42" t="n">
        <f aca="false">IF(AND(AND(Tasks[[#This Row],[_IsLeaf]]=1,Tasks[[#This Row],[_LeafTotalWork]]&gt;0),Tasks[[#This Row],[_Res4Work]]&gt;0),Tasks[[#This Row],[_Res4Work]]/(Tasks[[#This Row],[_FinishWorkday]]-Tasks[[#This Row],[_StartWorkday]]+1),0)</f>
        <v>0</v>
      </c>
      <c r="EE191" s="42" t="n">
        <f aca="false">Tasks[[#This Row],[_Res4WorkPerWD]]*MAX(0,Tasks[[#This Row],[_StartWorkday]]-1)</f>
        <v>0</v>
      </c>
      <c r="EF191" s="42" t="n">
        <f aca="false">Tasks[[#This Row],[_Res4Work]]*Tasks[[#This Row],[_LeafProgress]]</f>
        <v>0</v>
      </c>
      <c r="EG191" s="42" t="n">
        <f aca="false">IF(ISNUMBER(Tasks[[#This Row],[% Complete]]),Tasks[[#This Row],[% Complete]],IF(Tasks[[#This Row],[Stage]]="",0,IFERROR(INDEX(stg_Pct,MATCH(Tasks[[#This Row],[Stage]],stg_Name,0)),0)))</f>
        <v>0</v>
      </c>
      <c r="EH191" s="42" t="n">
        <f aca="false">IF(NOT(Tasks[[#This Row],[_IsLeaf]]=1),0,IF(N(Tasks[[#This Row],[Actual Finish]])&gt;0,1,MIN(1,Tasks[[#This Row],[_Pct]])))</f>
        <v>0</v>
      </c>
      <c r="EI191" s="42" t="n">
        <f aca="false">IF(OR(NOT(Tasks[[#This Row],[_IsLeaf]]=1),Tasks[[#This Row],[_Res1Row]]=0),0,N(Tasks[[#This Row],[_Days]])*HoursPerDay*IF(Tasks[[#This Row],[_Units1]]="",DefaultUnits,Tasks[[#This Row],[_Units1]]))</f>
        <v>0</v>
      </c>
      <c r="EJ191" s="42" t="n">
        <f aca="false">Tasks[[#This Row],[_LeafWork]]+Tasks[[#This Row],[_Res2Work]]+Tasks[[#This Row],[_Res3Work]]+Tasks[[#This Row],[_Res4Work]]</f>
        <v>0</v>
      </c>
      <c r="EK1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1" s="42" t="n">
        <f aca="false">IF(NOT(Tasks[[#This Row],[_IsLeaf]]=1),0,MAX(_xlfn.MAXIFS(Tasks[_Row],Tasks[_Pred1UID],Tasks[[#This Row],[UID]]),_xlfn.MAXIFS(Tasks[_Row],Tasks[_Pred2UID],Tasks[[#This Row],[UID]]),_xlfn.MAXIFS(Tasks[_Row],Tasks[_Pred3UID],Tasks[[#This Row],[UID]]),_xlfn.MAXIFS(Tasks[_Row],Tasks[_Pred4UID],Tasks[[#This Row],[UID]])))</f>
        <v>0</v>
      </c>
      <c r="ET1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1" s="89" t="str">
        <f aca="false">IF(NOT(Tasks[[#This Row],[_IsLeaf]]=1),"",IF(N(Tasks[[#This Row],[_Days]])&lt;=0,Tasks[[#This Row],[_LeafLateFinish]],WORKDAY.INTL(Tasks[[#This Row],[_LeafLateFinish]],-(Tasks[[#This Row],[_Days]]-1),WorkWeek,Holidays)))</f>
        <v/>
      </c>
      <c r="EW1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1" s="88" t="b">
        <f aca="false">AND(Tasks[[#This Row],[_IsLeaf]]=1,Tasks[[#This Row],[_LeafProgress]]&lt;1,N(Tasks[[#This Row],[_LeafTotalSlack]])&lt;=CriticalSlackDays)</f>
        <v>0</v>
      </c>
      <c r="EY191" s="42" t="n">
        <f aca="false">IF(AND(Tasks[[#This Row],[_IsLeaf]]=1,Tasks[[#This Row],[_ConstraintCode]]=1,Tasks[[#This Row],[Mode]]&lt;&gt;"Manual",N(Tasks[[#This Row],[Actual Start]])=0),MAX(0,N(Tasks[[#This Row],[Free Slack]])),0)</f>
        <v>0</v>
      </c>
      <c r="EZ191" s="89" t="str">
        <f aca="false">IF(NOT(Tasks[[#This Row],[_IsLeaf]]=1),"",IF(Tasks[[#This Row],[_AlapShift]]=0,Tasks[[#This Row],[_LeafCalcStart]],WORKDAY.INTL(Tasks[[#This Row],[_LeafCalcStart]],Tasks[[#This Row],[_AlapShift]],WorkWeek,Holidays)))</f>
        <v/>
      </c>
      <c r="FA191" s="89" t="str">
        <f aca="false">IF(NOT(Tasks[[#This Row],[_IsLeaf]]=1),"",IF(Tasks[[#This Row],[_AlapShift]]=0,Tasks[[#This Row],[_LeafCalcFinish]],WORKDAY.INTL(Tasks[[#This Row],[_LeafCalcFinish]],Tasks[[#This Row],[_AlapShift]],WorkWeek,Holidays)))</f>
        <v/>
      </c>
      <c r="FB191" s="89" t="str">
        <f aca="false">IF(NOT(Tasks[[#This Row],[_IsLeaf]]=1),"",IF(Tasks[[#This Row],[_AlapShift]]=0,Tasks[[#This Row],[_LeafFcstStart]],WORKDAY.INTL(Tasks[[#This Row],[_LeafFcstStart]],Tasks[[#This Row],[_AlapShift]],WorkWeek,Holidays)))</f>
        <v/>
      </c>
      <c r="FC191" s="89" t="str">
        <f aca="false">IF(NOT(Tasks[[#This Row],[_IsLeaf]]=1),"",IF(Tasks[[#This Row],[_AlapShift]]=0,Tasks[[#This Row],[_LeafFcstFinish]],WORKDAY.INTL(Tasks[[#This Row],[_LeafFcstFinish]],Tasks[[#This Row],[_AlapShift]],WorkWeek,Holidays)))</f>
        <v/>
      </c>
      <c r="FD191" s="89" t="str">
        <f aca="false">IF(Tasks[[#This Row],[Task Name]]="","",IF(Tasks[[#This Row],[_IsSummary]],MIN(INDEX(Tasks[_ShownCalcStart],Tasks[[#This Row],[_Row]]+1):INDEX(Tasks[_ShownCalcStart],Tasks[[#This Row],[_Row]]+Tasks[[#This Row],[_Descendants]])),Tasks[[#This Row],[_ShownCalcStart]]))</f>
        <v/>
      </c>
      <c r="FE191" s="89" t="str">
        <f aca="false">IF(Tasks[[#This Row],[Task Name]]="","",IF(Tasks[[#This Row],[_IsSummary]],MAX(INDEX(Tasks[_ShownCalcFinish],Tasks[[#This Row],[_Row]]+1):INDEX(Tasks[_ShownCalcFinish],Tasks[[#This Row],[_Row]]+Tasks[[#This Row],[_Descendants]])),Tasks[[#This Row],[_ShownCalcFinish]]))</f>
        <v/>
      </c>
      <c r="FF1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1" s="42" t="n">
        <f aca="false">IF(AND(Tasks[[#This Row],[_IsLeaf]]=1,Tasks[[#This Row],[_LeafTotalWork]]&gt;0),NETWORKDAYS.INTL(ProjectStart,Tasks[[#This Row],[_ShownFcstStart]],WorkWeek,Holidays),0)</f>
        <v>0</v>
      </c>
      <c r="FS191" s="42" t="n">
        <f aca="false">IF(AND(Tasks[[#This Row],[_IsLeaf]]=1,Tasks[[#This Row],[_LeafTotalWork]]&gt;0),MAX(Tasks[[#This Row],[_StartWorkday]],NETWORKDAYS.INTL(ProjectStart,Tasks[[#This Row],[_ShownFcstFinish]],WorkWeek,Holidays)),0)</f>
        <v>0</v>
      </c>
      <c r="FT191" s="42" t="n">
        <f aca="false">IF(AND(Tasks[[#This Row],[_IsLeaf]]=1,Tasks[[#This Row],[_LeafTotalWork]]&gt;0),Tasks[[#This Row],[_LeafWork]]/(Tasks[[#This Row],[_FinishWorkday]]-Tasks[[#This Row],[_StartWorkday]]+1),0)</f>
        <v>0</v>
      </c>
      <c r="FU191" s="42" t="n">
        <f aca="false">Tasks[[#This Row],[_WorkPerWorkday]]*(Tasks[[#This Row],[_StartWorkday]]-1)</f>
        <v>-0</v>
      </c>
      <c r="FV191" s="42" t="n">
        <f aca="false">IF(Tasks[[#This Row],[_IsLeaf]]=1,MAX(N(Tasks[[#This Row],[_Days]]),0.1),0)</f>
        <v>0</v>
      </c>
      <c r="FW191" s="42" t="n">
        <f aca="false">Tasks[[#This Row],[_WeightDur]]*Tasks[[#This Row],[_LeafProgress]]</f>
        <v>0</v>
      </c>
      <c r="FX191" s="42" t="n">
        <f aca="false">Tasks[[#This Row],[_WeightDur]]*Tasks[[#This Row],[_PlannedPct]]</f>
        <v>0</v>
      </c>
      <c r="FY1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1" s="42" t="str">
        <f aca="false">IF(AND(Tasks[[#This Row],[_IsLeaf]]=1,N(Tasks[[#This Row],[_Days]])=0,Tasks[[#This Row],[_LeafProgress]]&lt;1),Tasks[[#This Row],[_ShownFcstFinish]]+Tasks[[#This Row],[_Row]]/100000,"")</f>
        <v/>
      </c>
      <c r="GA1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1" s="42" t="str">
        <f aca="false">IF(Tasks[[#This Row],[Task Name]]="","",LEFT(Tasks[[#This Row],[WBS]],FIND(".",Tasks[[#This Row],[WBS]]&amp;".")-1))</f>
        <v/>
      </c>
      <c r="GC191" s="42" t="str">
        <f aca="false">IF(AND(Tasks[[#This Row],[Task Name]]&lt;&gt;"",Tasks[[#This Row],[_Level]]=1),Tasks[[#This Row],[_Row]],"")</f>
        <v/>
      </c>
      <c r="GD191" s="42" t="str">
        <f aca="false">IF(AND(Tasks[[#This Row],[_IsLeaf]]=1,N(Tasks[[#This Row],[_Days]])=0),Tasks[[#This Row],[Planned Finish]]+Tasks[[#This Row],[_Row]]/100000,"")</f>
        <v/>
      </c>
      <c r="GE191" s="42" t="str">
        <f aca="false">IF(AND(Tasks[[#This Row],[_IsLeaf]]=1,Tasks[[#This Row],[_LeafProgress]]&lt;1,OR(N(Tasks[[#This Row],[Finish Var]])&gt;0,Tasks[[#This Row],[Status]]="Late Start")),MAX(0,Tasks[[#This Row],[Finish Var]])+1-Tasks[[#This Row],[_Row]]/1000000,"")</f>
        <v/>
      </c>
      <c r="GF191" s="42" t="str">
        <f aca="false">IF(AND(Tasks[[#This Row],[_IsLeaf]]=1,N(Tasks[[#This Row],[Actual Start]])=0,Tasks[[#This Row],[_ShownFcstStart]]&gt;=StatusDate,Tasks[[#This Row],[_ShownFcstStart]]&lt;=LookaheadEnd),Tasks[[#This Row],[_ShownFcstStart]]+Tasks[[#This Row],[_Row]]/100000,"")</f>
        <v/>
      </c>
      <c r="GG191" s="42" t="str">
        <f aca="false">IF(AND(Tasks[[#This Row],[_IsLeaf]]=1,Tasks[[#This Row],[_LeafProgress]]&lt;1,Tasks[[#This Row],[_ShownFcstFinish]]&gt;=StatusDate,Tasks[[#This Row],[_ShownFcstFinish]]&lt;=LookaheadEnd),Tasks[[#This Row],[_ShownFcstFinish]]+Tasks[[#This Row],[_Row]]/100000,"")</f>
        <v/>
      </c>
      <c r="GH191" s="42" t="str">
        <f aca="false">IF(Tasks[[#This Row],[_LeafCritical]],Tasks[[#This Row],[_ShownFcstStart]]+Tasks[[#This Row],[_Row]]/100000,"")</f>
        <v/>
      </c>
      <c r="GI191" s="42" t="n">
        <f aca="false">Tasks[[#This Row],[_LeafWork]]*Tasks[[#This Row],[_LeafProgress]]</f>
        <v>0</v>
      </c>
      <c r="GJ191" s="89" t="str">
        <f aca="false">IF(AND(Tasks[[#This Row],[_IsLeaf]]=1,Tasks[[#This Row],[_LeafProgress]]&gt;=1),IF(N(Tasks[[#This Row],[Actual Finish]])&gt;0,Tasks[[#This Row],[Actual Finish]],Tasks[[#This Row],[_ShownFcstFinish]]),"")</f>
        <v/>
      </c>
      <c r="GK191" s="42" t="n">
        <f aca="false">IF(Tasks[[#This Row],[_IsLeaf]]=1,N(Tasks[[#This Row],[Story Points]]),0)</f>
        <v>0</v>
      </c>
      <c r="GL191" s="42" t="str">
        <f aca="false">""</f>
        <v/>
      </c>
      <c r="GM191" s="88" t="b">
        <f aca="false">IF(Tasks[[#This Row],[Task Name]]="",FALSE(),AND(Tasks[[#This Row],[_IsLeaf]]=1,N(Tasks[[#This Row],[_Days]])=0))</f>
        <v>0</v>
      </c>
      <c r="GN191" s="89" t="n">
        <f aca="false">IF(Tasks[[#This Row],[Task Name]]="",0,IF(AND(Tasks[[#This Row],[_IsLeaf]]=1,NOT(Tasks[[#This Row],[_IsMilestone]]),N(Tasks[[#This Row],[Progress]])&gt;0),Tasks[[#This Row],[Start]],0))</f>
        <v>0</v>
      </c>
      <c r="GO191" s="89" t="n">
        <f aca="false">IF(Tasks[[#This Row],[_DoneFrom]]=0,0,IF(Tasks[[#This Row],[Progress]]&gt;=1,Tasks[[#This Row],[Finish]],MAX(Tasks[[#This Row],[_DoneFrom]],Tasks[[#This Row],[Start]]+ROUND((Tasks[[#This Row],[Finish]]-Tasks[[#This Row],[Start]]+1)*Tasks[[#This Row],[Progress]],0)-1)))</f>
        <v>0</v>
      </c>
      <c r="GP191" s="89" t="n">
        <f aca="false">IF(Tasks[[#This Row],[Task Name]]="",0,IF(OR(NOT(Tasks[[#This Row],[_IsLeaf]]=1),Tasks[[#This Row],[_IsMilestone]],N(Tasks[[#This Row],[Progress]])&gt;=1),0,IF(Tasks[[#This Row],[_DoneTo]]&gt;0,Tasks[[#This Row],[_DoneTo]]+1,Tasks[[#This Row],[Start]])))</f>
        <v>0</v>
      </c>
      <c r="GQ191" s="89" t="n">
        <f aca="false">IF(Tasks[[#This Row],[_RemFrom]]=0,0,Tasks[[#This Row],[Finish]])</f>
        <v>0</v>
      </c>
      <c r="GR191" s="88" t="b">
        <f aca="false">IF(Tasks[[#This Row],[Task Name]]="",FALSE(),OR(NOT(BaselineSet),N(Tasks[[#This Row],[Baseline Start]])&gt;0))</f>
        <v>0</v>
      </c>
      <c r="GS1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1" s="90" t="str">
        <f aca="false">IF(Tasks[[#This Row],[_IsLeaf]]=1,Tasks[[#This Row],[_Row]],"")</f>
        <v/>
      </c>
      <c r="GW191" s="90" t="str">
        <f aca="false">IFERROR(INDEX(Tasks[UID],SMALL(Tasks[_PickKey],Tasks[[#This Row],[_Row]]))&amp;" "&amp;INDEX(Tasks[Task Name],SMALL(Tasks[_PickKey],Tasks[[#This Row],[_Row]])),"")</f>
        <v/>
      </c>
      <c r="GX191" s="42" t="str">
        <f aca="false">IF(Tasks[[#This Row],[Task Name]]="","",IF(Tasks[[#This Row],[_IsSummary]],NETWORKDAYS.INTL(Tasks[[#This Row],[Start]],Tasks[[#This Row],[Finish]],WorkWeek,Holidays),N(Tasks[[#This Row],[_Days]])))</f>
        <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3"/>
      <c r="U192" s="23"/>
      <c r="V192" s="83"/>
      <c r="W192" s="23"/>
      <c r="X192" s="83"/>
      <c r="Y192" s="23"/>
      <c r="Z192" s="83"/>
      <c r="AA192" s="23"/>
      <c r="AB192" s="23"/>
      <c r="AC192" s="7"/>
      <c r="AD192" s="7"/>
      <c r="AE192" s="62" t="str">
        <f aca="false">IF(Tasks[[#This Row],[Task Name]]="","",IF(Tasks[[#This Row],[_IsSummary]],MIN(INDEX(Tasks[_ShownFcstStart],Tasks[[#This Row],[_Row]]+1):INDEX(Tasks[_ShownFcstStart],Tasks[[#This Row],[_Row]]+Tasks[[#This Row],[_Descendants]])),Tasks[[#This Row],[_ShownFcstStart]]))</f>
        <v/>
      </c>
      <c r="AF192" s="62"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2" s="7"/>
      <c r="AK192" s="22"/>
      <c r="AL192" s="23"/>
      <c r="AM192" s="7"/>
      <c r="AN192" s="46"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2" t="str">
        <f aca="false">IF(Tasks[[#This Row],[Task Name]]="","",IF(N(Tasks[[#This Row],[Baseline Start]])&gt;0,Tasks[[#This Row],[Baseline Start]],Tasks[[#This Row],[_CalcStart]]))</f>
        <v/>
      </c>
      <c r="AR192" s="62" t="str">
        <f aca="false">IF(Tasks[[#This Row],[Task Name]]="","",IF(N(Tasks[[#This Row],[Baseline Finish]])&gt;0,Tasks[[#This Row],[Baseline Finish]],Tasks[[#This Row],[_CalcFinish]]))</f>
        <v/>
      </c>
      <c r="AS192" s="46" t="str">
        <f aca="false">IF(Tasks[[#This Row],[Task Name]]="","",IF(Tasks[[#This Row],[Start]]&gt;=Tasks[[#This Row],[Planned Start]],NETWORKDAYS.INTL(Tasks[[#This Row],[Planned Start]],Tasks[[#This Row],[Start]],WorkWeek,Holidays)-1,1-NETWORKDAYS.INTL(Tasks[[#This Row],[Start]],Tasks[[#This Row],[Planned Start]],WorkWeek,Holidays)))</f>
        <v/>
      </c>
      <c r="AT192" s="62" t="str">
        <f aca="false">IF(Tasks[[#This Row],[Task Name]]="","",IF(Tasks[[#This Row],[_IsSummary]],MIN(INDEX(Tasks[_LeafLateStart],Tasks[[#This Row],[_Row]]+1):INDEX(Tasks[_LeafLateStart],Tasks[[#This Row],[_Row]]+Tasks[[#This Row],[_Descendants]])),Tasks[[#This Row],[_LeafLateStart]]))</f>
        <v/>
      </c>
      <c r="AU192" s="62" t="str">
        <f aca="false">IF(Tasks[[#This Row],[Task Name]]="","",IF(Tasks[[#This Row],[_IsSummary]],MAX(INDEX(Tasks[_LeafLateFinish],Tasks[[#This Row],[_Row]]+1):INDEX(Tasks[_LeafLateFinish],Tasks[[#This Row],[_Row]]+Tasks[[#This Row],[_Descendants]])),Tasks[[#This Row],[_LeafLateFinish]]))</f>
        <v/>
      </c>
      <c r="AV192" s="46"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4"/>
      <c r="BA1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5"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6"/>
      <c r="BJ192" s="22"/>
      <c r="BK192" s="46" t="str">
        <f aca="false">IF(OR(Tasks[[#This Row],[Task Name]]="",Tasks[[#This Row],[Baseline Duration]]=""),"",Tasks[[#This Row],[_SpanDays]]-N(Tasks[[#This Row],[Baseline Duration]]))</f>
        <v/>
      </c>
      <c r="BL192" s="85" t="str">
        <f aca="false">IF(OR(Tasks[[#This Row],[Task Name]]="",Tasks[[#This Row],[Baseline Work]]=""),"",Tasks[[#This Row],[Work]]-N(Tasks[[#This Row],[Baseline Work]]))</f>
        <v/>
      </c>
      <c r="BM192" s="62" t="str">
        <f aca="false">IF(Tasks[[#This Row],[Task Name]]="","",IF(OR(TakeBaseline="Yes",N(Tasks[[#This Row],[Baseline Start]])=0),Tasks[[#This Row],[Start]],Tasks[[#This Row],[Baseline Start]]))</f>
        <v/>
      </c>
      <c r="BN192" s="62"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5" t="str">
        <f aca="false">IF(Tasks[[#This Row],[Task Name]]="","",IF(OR(TakeBaseline="Yes",N(Tasks[[#This Row],[Baseline Work]])=0),Tasks[[#This Row],[Work]],Tasks[[#This Row],[Baseline Work]]))</f>
        <v/>
      </c>
      <c r="BQ192" s="7"/>
      <c r="BR192" s="7"/>
      <c r="BS192" s="22"/>
      <c r="BT192" s="87"/>
      <c r="BU192" s="42" t="str">
        <f aca="false">IF(Tasks[[#This Row],[Task Name]]="","",MAX(1,N(Tasks[[#This Row],[Level]])))</f>
        <v/>
      </c>
      <c r="BV192" s="42" t="n">
        <f aca="false">ROW()-ROW(Tasks[[#Headers],[ID]])</f>
        <v>187</v>
      </c>
      <c r="BW192" s="42" t="n">
        <f aca="false">IF(OR(Tasks[[#This Row],[Task Name]]="",Tasks[[#This Row],[_Level]]&lt;=1),0,IFERROR(LOOKUP(2,1/(Tasks[[#Headers],[_Level]]:Tasks[[#This Row],[_Level]]=Tasks[[#This Row],[_Level]]-1),ROW(Tasks[[#Headers],[_Level]]:Tasks[[#This Row],[_Level]])),0))</f>
        <v>0</v>
      </c>
      <c r="BX192" s="42" t="n">
        <f aca="false">IFERROR(N(INDEX(Tasks[_Level],Tasks[[#This Row],[_Row]]+1)),0)</f>
        <v>0</v>
      </c>
      <c r="BY192" s="88" t="b">
        <f aca="false">AND(Tasks[[#This Row],[Task Name]]&lt;&gt;"",Tasks[[#This Row],[_NextLevel]]&gt;Tasks[[#This Row],[_Level]])</f>
        <v>0</v>
      </c>
      <c r="BZ192" s="42" t="n">
        <f aca="false">IF(Tasks[[#This Row],[_IsSummary]],COUNTIF(Tasks[WBS],Tasks[[#This Row],[WBS]]&amp;".*"),0)</f>
        <v>0</v>
      </c>
      <c r="CA192" s="42" t="n">
        <f aca="false">IF(AND(Tasks[[#This Row],[Task Name]]&lt;&gt;"",NOT(Tasks[[#This Row],[_IsSummary]])),1,0)</f>
        <v>0</v>
      </c>
      <c r="CB192" s="42" t="n">
        <f aca="false">IF(N(Tasks[[#This Row],[_Pred1UID]])=0,0,IFERROR(MATCH(Tasks[[#This Row],[_Pred1UID]],Tasks[UID],0),-1))</f>
        <v>0</v>
      </c>
      <c r="CC192" s="42" t="n">
        <f aca="false">IF(N(Tasks[[#This Row],[_Pred2UID]])=0,0,IFERROR(MATCH(Tasks[[#This Row],[_Pred2UID]],Tasks[UID],0),-1))</f>
        <v>0</v>
      </c>
      <c r="CD192" s="42" t="n">
        <f aca="false">IF(N(Tasks[[#This Row],[_Pred3UID]])=0,0,IFERROR(MATCH(Tasks[[#This Row],[_Pred3UID]],Tasks[UID],0),-1))</f>
        <v>0</v>
      </c>
      <c r="CE192" s="42" t="n">
        <f aca="false">IF(N(Tasks[[#This Row],[_Pred4UID]])=0,0,IFERROR(MATCH(Tasks[[#This Row],[_Pred4UID]],Tasks[UID],0),-1))</f>
        <v>0</v>
      </c>
      <c r="CF1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2" s="89" t="n">
        <f aca="false">IF(OR(Tasks[[#This Row],[_ConstraintCode]]=2,Tasks[[#This Row],[_ConstraintCode]]=3,Tasks[[#This Row],[_ConstraintCode]]=4,Tasks[[#This Row],[_ConstraintCode]]=6),Tasks[[#This Row],[_ConstraintStart]],0)</f>
        <v>0</v>
      </c>
      <c r="CI192" s="89" t="n">
        <f aca="false">IF(OR(Tasks[[#This Row],[_ConstraintCode]]=2,Tasks[[#This Row],[_ConstraintCode]]=3,Tasks[[#This Row],[_ConstraintCode]]=5,Tasks[[#This Row],[_ConstraintCode]]=7),Tasks[[#This Row],[_ConstraintStart]],2958465)</f>
        <v>2958465</v>
      </c>
      <c r="CJ1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2" s="89" t="str">
        <f aca="false">IF(NOT(Tasks[[#This Row],[_IsLeaf]]=1),"",IF(N(Tasks[[#This Row],[_Days]])&lt;=0,Tasks[[#This Row],[_LeafCalcStart]],WORKDAY.INTL(Tasks[[#This Row],[_LeafCalcStart]],Tasks[[#This Row],[_Days]]-1,WorkWeek,Holidays)))</f>
        <v/>
      </c>
      <c r="CL1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2" s="42" t="str">
        <f aca="false">IF(Tasks[[#This Row],[_Predecessors]]="","",TRIM(MID(SUBSTITUTE(SUBSTITUTE(SUBSTITUTE(UPPER(Tasks[[#This Row],[_Predecessors]]),";",",")," ",""),",",REPT(" ",99)),1,99)))</f>
        <v/>
      </c>
      <c r="CO192" s="42" t="str">
        <f aca="false">IF(Tasks[[#This Row],[_Pred1Text]]="","",IFERROR(VALUE(LEFT(Tasks[[#This Row],[_Pred1Text]],MIN(FIND("F",Tasks[[#This Row],[_Pred1Text]]&amp;"F"),FIND("S",Tasks[[#This Row],[_Pred1Text]]&amp;"S"),FIND("+",Tasks[[#This Row],[_Pred1Text]]&amp;"+"),FIND("-",Tasks[[#This Row],[_Pred1Text]]&amp;"-"))-1)),""))</f>
        <v/>
      </c>
      <c r="CP1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2" s="42" t="str">
        <f aca="false">IF(Tasks[[#This Row],[_Pred1Text]]="","",TRIM(MID(SUBSTITUTE(SUBSTITUTE(SUBSTITUTE(UPPER(Tasks[[#This Row],[_Predecessors]]),";",",")," ",""),",",REPT(" ",99)),100,99)))</f>
        <v/>
      </c>
      <c r="CS192" s="42" t="str">
        <f aca="false">IF(Tasks[[#This Row],[_Pred2Text]]="","",IFERROR(VALUE(LEFT(Tasks[[#This Row],[_Pred2Text]],MIN(FIND("F",Tasks[[#This Row],[_Pred2Text]]&amp;"F"),FIND("S",Tasks[[#This Row],[_Pred2Text]]&amp;"S"),FIND("+",Tasks[[#This Row],[_Pred2Text]]&amp;"+"),FIND("-",Tasks[[#This Row],[_Pred2Text]]&amp;"-"))-1)),""))</f>
        <v/>
      </c>
      <c r="CT1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2" s="42" t="str">
        <f aca="false">IF(Tasks[[#This Row],[_Pred2Text]]="","",TRIM(MID(SUBSTITUTE(SUBSTITUTE(SUBSTITUTE(UPPER(Tasks[[#This Row],[_Predecessors]]),";",",")," ",""),",",REPT(" ",99)),199,99)))</f>
        <v/>
      </c>
      <c r="CW192" s="42" t="str">
        <f aca="false">IF(Tasks[[#This Row],[_Pred3Text]]="","",IFERROR(VALUE(LEFT(Tasks[[#This Row],[_Pred3Text]],MIN(FIND("F",Tasks[[#This Row],[_Pred3Text]]&amp;"F"),FIND("S",Tasks[[#This Row],[_Pred3Text]]&amp;"S"),FIND("+",Tasks[[#This Row],[_Pred3Text]]&amp;"+"),FIND("-",Tasks[[#This Row],[_Pred3Text]]&amp;"-"))-1)),""))</f>
        <v/>
      </c>
      <c r="CX1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2" s="42" t="str">
        <f aca="false">IF(Tasks[[#This Row],[_Pred3Text]]="","",TRIM(MID(SUBSTITUTE(SUBSTITUTE(SUBSTITUTE(UPPER(Tasks[[#This Row],[_Predecessors]]),";",",")," ",""),",",REPT(" ",99)),298,99)))</f>
        <v/>
      </c>
      <c r="DA192" s="42" t="str">
        <f aca="false">IF(Tasks[[#This Row],[_Pred4Text]]="","",IFERROR(VALUE(LEFT(Tasks[[#This Row],[_Pred4Text]],MIN(FIND("F",Tasks[[#This Row],[_Pred4Text]]&amp;"F"),FIND("S",Tasks[[#This Row],[_Pred4Text]]&amp;"S"),FIND("+",Tasks[[#This Row],[_Pred4Text]]&amp;"+"),FIND("-",Tasks[[#This Row],[_Pred4Text]]&amp;"-"))-1)),""))</f>
        <v/>
      </c>
      <c r="DB1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2" s="42" t="str">
        <f aca="false">IF(OR(Tasks[[#This Row],[Task Name]]="",Tasks[[#This Row],[_Resources]]=""),"",TRIM(MID(SUBSTITUTE(Tasks[[#This Row],[_Resources]],",",REPT(" ",99)),1,99)))</f>
        <v/>
      </c>
      <c r="DE192" s="42" t="str">
        <f aca="false">IF(Tasks[[#This Row],[_Res1Text]]="","",TRIM(MID(SUBSTITUTE(Tasks[[#This Row],[_Resources]],",",REPT(" ",99)),100,99)))</f>
        <v/>
      </c>
      <c r="DF192" s="42" t="str">
        <f aca="false">IF(Tasks[[#This Row],[_Res2Text]]="","",TRIM(MID(SUBSTITUTE(Tasks[[#This Row],[_Resources]],",",REPT(" ",99)),199,99)))</f>
        <v/>
      </c>
      <c r="DG192" s="42" t="str">
        <f aca="false">IF(Tasks[[#This Row],[_Res3Text]]="","",TRIM(MID(SUBSTITUTE(Tasks[[#This Row],[_Resources]],",",REPT(" ",99)),298,99)))</f>
        <v/>
      </c>
      <c r="DH192" s="42" t="n">
        <f aca="false">IF(Tasks[[#This Row],[_Res1Text]]="",0,IFERROR(MATCH(TRIM(LEFT(Tasks[[#This Row],[_Res1Text]],FIND("[",Tasks[[#This Row],[_Res1Text]]&amp;"[")-1)),res_Name,0),IFERROR(MATCH(TRIM(LEFT(Tasks[[#This Row],[_Res1Text]],FIND("[",Tasks[[#This Row],[_Res1Text]]&amp;"[")-1)),res_Initials,0),0)))</f>
        <v>0</v>
      </c>
      <c r="DI192" s="42" t="n">
        <f aca="false">IF(Tasks[[#This Row],[_Res2Text]]="",0,IFERROR(MATCH(TRIM(LEFT(Tasks[[#This Row],[_Res2Text]],FIND("[",Tasks[[#This Row],[_Res2Text]]&amp;"[")-1)),res_Name,0),IFERROR(MATCH(TRIM(LEFT(Tasks[[#This Row],[_Res2Text]],FIND("[",Tasks[[#This Row],[_Res2Text]]&amp;"[")-1)),res_Initials,0),0)))</f>
        <v>0</v>
      </c>
      <c r="DJ192" s="42" t="n">
        <f aca="false">IF(Tasks[[#This Row],[_Res3Text]]="",0,IFERROR(MATCH(TRIM(LEFT(Tasks[[#This Row],[_Res3Text]],FIND("[",Tasks[[#This Row],[_Res3Text]]&amp;"[")-1)),res_Name,0),IFERROR(MATCH(TRIM(LEFT(Tasks[[#This Row],[_Res3Text]],FIND("[",Tasks[[#This Row],[_Res3Text]]&amp;"[")-1)),res_Initials,0),0)))</f>
        <v>0</v>
      </c>
      <c r="DK192" s="42" t="n">
        <f aca="false">IF(Tasks[[#This Row],[_Res4Text]]="",0,IFERROR(MATCH(TRIM(LEFT(Tasks[[#This Row],[_Res4Text]],FIND("[",Tasks[[#This Row],[_Res4Text]]&amp;"[")-1)),res_Name,0),IFERROR(MATCH(TRIM(LEFT(Tasks[[#This Row],[_Res4Text]],FIND("[",Tasks[[#This Row],[_Res4Text]]&amp;"[")-1)),res_Initials,0),0)))</f>
        <v>0</v>
      </c>
      <c r="DL192" s="42" t="str">
        <f aca="false">IF(Tasks[[#This Row],[_Res1Text]]="","",IF(Tasks[[#This Row],[_Res1Row]]&gt;0,INDEX(res_Name,Tasks[[#This Row],[_Res1Row]]),TRIM(LEFT(Tasks[[#This Row],[_Res1Text]],FIND("[",Tasks[[#This Row],[_Res1Text]]&amp;"[")-1))))</f>
        <v/>
      </c>
      <c r="DM1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2" s="42" t="n">
        <f aca="false">IF(NOT(Tasks[[#This Row],[_IsLeaf]]=1),0,(Tasks[[#This Row],[_Resource1]]&lt;&gt;"")+(Tasks[[#This Row],[_Res2]]&lt;&gt;"")+(Tasks[[#This Row],[_Res3]]&lt;&gt;"")+(Tasks[[#This Row],[_Res4]]&lt;&gt;""))</f>
        <v>0</v>
      </c>
      <c r="DO192" s="42" t="str">
        <f aca="false">IF(Tasks[[#This Row],[_Res2Text]]="","",IF(Tasks[[#This Row],[_Res2Row]]&gt;0,INDEX(res_Name,Tasks[[#This Row],[_Res2Row]]),TRIM(LEFT(Tasks[[#This Row],[_Res2Text]],FIND("[",Tasks[[#This Row],[_Res2Text]]&amp;"[")-1))))</f>
        <v/>
      </c>
      <c r="DP1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2" s="42" t="n">
        <f aca="false">IF(OR(NOT(Tasks[[#This Row],[_IsLeaf]]=1),Tasks[[#This Row],[_Res2Row]]=0),0,N(Tasks[[#This Row],[_Days]])*HoursPerDay*IF(Tasks[[#This Row],[_Res2Units]]="",DefaultUnits,Tasks[[#This Row],[_Res2Units]]))</f>
        <v>0</v>
      </c>
      <c r="DR192" s="42" t="n">
        <f aca="false">IF(AND(AND(Tasks[[#This Row],[_IsLeaf]]=1,Tasks[[#This Row],[_LeafTotalWork]]&gt;0),Tasks[[#This Row],[_Res2Work]]&gt;0),Tasks[[#This Row],[_Res2Work]]/(Tasks[[#This Row],[_FinishWorkday]]-Tasks[[#This Row],[_StartWorkday]]+1),0)</f>
        <v>0</v>
      </c>
      <c r="DS192" s="42" t="n">
        <f aca="false">Tasks[[#This Row],[_Res2WorkPerWD]]*MAX(0,Tasks[[#This Row],[_StartWorkday]]-1)</f>
        <v>0</v>
      </c>
      <c r="DT192" s="42" t="n">
        <f aca="false">Tasks[[#This Row],[_Res2Work]]*Tasks[[#This Row],[_LeafProgress]]</f>
        <v>0</v>
      </c>
      <c r="DU192" s="42" t="str">
        <f aca="false">IF(Tasks[[#This Row],[_Res3Text]]="","",IF(Tasks[[#This Row],[_Res3Row]]&gt;0,INDEX(res_Name,Tasks[[#This Row],[_Res3Row]]),TRIM(LEFT(Tasks[[#This Row],[_Res3Text]],FIND("[",Tasks[[#This Row],[_Res3Text]]&amp;"[")-1))))</f>
        <v/>
      </c>
      <c r="DV1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2" s="42" t="n">
        <f aca="false">IF(OR(NOT(Tasks[[#This Row],[_IsLeaf]]=1),Tasks[[#This Row],[_Res3Row]]=0),0,N(Tasks[[#This Row],[_Days]])*HoursPerDay*IF(Tasks[[#This Row],[_Res3Units]]="",DefaultUnits,Tasks[[#This Row],[_Res3Units]]))</f>
        <v>0</v>
      </c>
      <c r="DX192" s="42" t="n">
        <f aca="false">IF(AND(AND(Tasks[[#This Row],[_IsLeaf]]=1,Tasks[[#This Row],[_LeafTotalWork]]&gt;0),Tasks[[#This Row],[_Res3Work]]&gt;0),Tasks[[#This Row],[_Res3Work]]/(Tasks[[#This Row],[_FinishWorkday]]-Tasks[[#This Row],[_StartWorkday]]+1),0)</f>
        <v>0</v>
      </c>
      <c r="DY192" s="42" t="n">
        <f aca="false">Tasks[[#This Row],[_Res3WorkPerWD]]*MAX(0,Tasks[[#This Row],[_StartWorkday]]-1)</f>
        <v>0</v>
      </c>
      <c r="DZ192" s="42" t="n">
        <f aca="false">Tasks[[#This Row],[_Res3Work]]*Tasks[[#This Row],[_LeafProgress]]</f>
        <v>0</v>
      </c>
      <c r="EA192" s="42" t="str">
        <f aca="false">IF(Tasks[[#This Row],[_Res4Text]]="","",IF(Tasks[[#This Row],[_Res4Row]]&gt;0,INDEX(res_Name,Tasks[[#This Row],[_Res4Row]]),TRIM(LEFT(Tasks[[#This Row],[_Res4Text]],FIND("[",Tasks[[#This Row],[_Res4Text]]&amp;"[")-1))))</f>
        <v/>
      </c>
      <c r="EB1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2" s="42" t="n">
        <f aca="false">IF(OR(NOT(Tasks[[#This Row],[_IsLeaf]]=1),Tasks[[#This Row],[_Res4Row]]=0),0,N(Tasks[[#This Row],[_Days]])*HoursPerDay*IF(Tasks[[#This Row],[_Res4Units]]="",DefaultUnits,Tasks[[#This Row],[_Res4Units]]))</f>
        <v>0</v>
      </c>
      <c r="ED192" s="42" t="n">
        <f aca="false">IF(AND(AND(Tasks[[#This Row],[_IsLeaf]]=1,Tasks[[#This Row],[_LeafTotalWork]]&gt;0),Tasks[[#This Row],[_Res4Work]]&gt;0),Tasks[[#This Row],[_Res4Work]]/(Tasks[[#This Row],[_FinishWorkday]]-Tasks[[#This Row],[_StartWorkday]]+1),0)</f>
        <v>0</v>
      </c>
      <c r="EE192" s="42" t="n">
        <f aca="false">Tasks[[#This Row],[_Res4WorkPerWD]]*MAX(0,Tasks[[#This Row],[_StartWorkday]]-1)</f>
        <v>0</v>
      </c>
      <c r="EF192" s="42" t="n">
        <f aca="false">Tasks[[#This Row],[_Res4Work]]*Tasks[[#This Row],[_LeafProgress]]</f>
        <v>0</v>
      </c>
      <c r="EG192" s="42" t="n">
        <f aca="false">IF(ISNUMBER(Tasks[[#This Row],[% Complete]]),Tasks[[#This Row],[% Complete]],IF(Tasks[[#This Row],[Stage]]="",0,IFERROR(INDEX(stg_Pct,MATCH(Tasks[[#This Row],[Stage]],stg_Name,0)),0)))</f>
        <v>0</v>
      </c>
      <c r="EH192" s="42" t="n">
        <f aca="false">IF(NOT(Tasks[[#This Row],[_IsLeaf]]=1),0,IF(N(Tasks[[#This Row],[Actual Finish]])&gt;0,1,MIN(1,Tasks[[#This Row],[_Pct]])))</f>
        <v>0</v>
      </c>
      <c r="EI192" s="42" t="n">
        <f aca="false">IF(OR(NOT(Tasks[[#This Row],[_IsLeaf]]=1),Tasks[[#This Row],[_Res1Row]]=0),0,N(Tasks[[#This Row],[_Days]])*HoursPerDay*IF(Tasks[[#This Row],[_Units1]]="",DefaultUnits,Tasks[[#This Row],[_Units1]]))</f>
        <v>0</v>
      </c>
      <c r="EJ192" s="42" t="n">
        <f aca="false">Tasks[[#This Row],[_LeafWork]]+Tasks[[#This Row],[_Res2Work]]+Tasks[[#This Row],[_Res3Work]]+Tasks[[#This Row],[_Res4Work]]</f>
        <v>0</v>
      </c>
      <c r="EK1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2" s="42" t="n">
        <f aca="false">IF(NOT(Tasks[[#This Row],[_IsLeaf]]=1),0,MAX(_xlfn.MAXIFS(Tasks[_Row],Tasks[_Pred1UID],Tasks[[#This Row],[UID]]),_xlfn.MAXIFS(Tasks[_Row],Tasks[_Pred2UID],Tasks[[#This Row],[UID]]),_xlfn.MAXIFS(Tasks[_Row],Tasks[_Pred3UID],Tasks[[#This Row],[UID]]),_xlfn.MAXIFS(Tasks[_Row],Tasks[_Pred4UID],Tasks[[#This Row],[UID]])))</f>
        <v>0</v>
      </c>
      <c r="ET1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2" s="89" t="str">
        <f aca="false">IF(NOT(Tasks[[#This Row],[_IsLeaf]]=1),"",IF(N(Tasks[[#This Row],[_Days]])&lt;=0,Tasks[[#This Row],[_LeafLateFinish]],WORKDAY.INTL(Tasks[[#This Row],[_LeafLateFinish]],-(Tasks[[#This Row],[_Days]]-1),WorkWeek,Holidays)))</f>
        <v/>
      </c>
      <c r="EW1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2" s="88" t="b">
        <f aca="false">AND(Tasks[[#This Row],[_IsLeaf]]=1,Tasks[[#This Row],[_LeafProgress]]&lt;1,N(Tasks[[#This Row],[_LeafTotalSlack]])&lt;=CriticalSlackDays)</f>
        <v>0</v>
      </c>
      <c r="EY192" s="42" t="n">
        <f aca="false">IF(AND(Tasks[[#This Row],[_IsLeaf]]=1,Tasks[[#This Row],[_ConstraintCode]]=1,Tasks[[#This Row],[Mode]]&lt;&gt;"Manual",N(Tasks[[#This Row],[Actual Start]])=0),MAX(0,N(Tasks[[#This Row],[Free Slack]])),0)</f>
        <v>0</v>
      </c>
      <c r="EZ192" s="89" t="str">
        <f aca="false">IF(NOT(Tasks[[#This Row],[_IsLeaf]]=1),"",IF(Tasks[[#This Row],[_AlapShift]]=0,Tasks[[#This Row],[_LeafCalcStart]],WORKDAY.INTL(Tasks[[#This Row],[_LeafCalcStart]],Tasks[[#This Row],[_AlapShift]],WorkWeek,Holidays)))</f>
        <v/>
      </c>
      <c r="FA192" s="89" t="str">
        <f aca="false">IF(NOT(Tasks[[#This Row],[_IsLeaf]]=1),"",IF(Tasks[[#This Row],[_AlapShift]]=0,Tasks[[#This Row],[_LeafCalcFinish]],WORKDAY.INTL(Tasks[[#This Row],[_LeafCalcFinish]],Tasks[[#This Row],[_AlapShift]],WorkWeek,Holidays)))</f>
        <v/>
      </c>
      <c r="FB192" s="89" t="str">
        <f aca="false">IF(NOT(Tasks[[#This Row],[_IsLeaf]]=1),"",IF(Tasks[[#This Row],[_AlapShift]]=0,Tasks[[#This Row],[_LeafFcstStart]],WORKDAY.INTL(Tasks[[#This Row],[_LeafFcstStart]],Tasks[[#This Row],[_AlapShift]],WorkWeek,Holidays)))</f>
        <v/>
      </c>
      <c r="FC192" s="89" t="str">
        <f aca="false">IF(NOT(Tasks[[#This Row],[_IsLeaf]]=1),"",IF(Tasks[[#This Row],[_AlapShift]]=0,Tasks[[#This Row],[_LeafFcstFinish]],WORKDAY.INTL(Tasks[[#This Row],[_LeafFcstFinish]],Tasks[[#This Row],[_AlapShift]],WorkWeek,Holidays)))</f>
        <v/>
      </c>
      <c r="FD192" s="89" t="str">
        <f aca="false">IF(Tasks[[#This Row],[Task Name]]="","",IF(Tasks[[#This Row],[_IsSummary]],MIN(INDEX(Tasks[_ShownCalcStart],Tasks[[#This Row],[_Row]]+1):INDEX(Tasks[_ShownCalcStart],Tasks[[#This Row],[_Row]]+Tasks[[#This Row],[_Descendants]])),Tasks[[#This Row],[_ShownCalcStart]]))</f>
        <v/>
      </c>
      <c r="FE192" s="89" t="str">
        <f aca="false">IF(Tasks[[#This Row],[Task Name]]="","",IF(Tasks[[#This Row],[_IsSummary]],MAX(INDEX(Tasks[_ShownCalcFinish],Tasks[[#This Row],[_Row]]+1):INDEX(Tasks[_ShownCalcFinish],Tasks[[#This Row],[_Row]]+Tasks[[#This Row],[_Descendants]])),Tasks[[#This Row],[_ShownCalcFinish]]))</f>
        <v/>
      </c>
      <c r="FF1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2" s="42" t="n">
        <f aca="false">IF(AND(Tasks[[#This Row],[_IsLeaf]]=1,Tasks[[#This Row],[_LeafTotalWork]]&gt;0),NETWORKDAYS.INTL(ProjectStart,Tasks[[#This Row],[_ShownFcstStart]],WorkWeek,Holidays),0)</f>
        <v>0</v>
      </c>
      <c r="FS192" s="42" t="n">
        <f aca="false">IF(AND(Tasks[[#This Row],[_IsLeaf]]=1,Tasks[[#This Row],[_LeafTotalWork]]&gt;0),MAX(Tasks[[#This Row],[_StartWorkday]],NETWORKDAYS.INTL(ProjectStart,Tasks[[#This Row],[_ShownFcstFinish]],WorkWeek,Holidays)),0)</f>
        <v>0</v>
      </c>
      <c r="FT192" s="42" t="n">
        <f aca="false">IF(AND(Tasks[[#This Row],[_IsLeaf]]=1,Tasks[[#This Row],[_LeafTotalWork]]&gt;0),Tasks[[#This Row],[_LeafWork]]/(Tasks[[#This Row],[_FinishWorkday]]-Tasks[[#This Row],[_StartWorkday]]+1),0)</f>
        <v>0</v>
      </c>
      <c r="FU192" s="42" t="n">
        <f aca="false">Tasks[[#This Row],[_WorkPerWorkday]]*(Tasks[[#This Row],[_StartWorkday]]-1)</f>
        <v>-0</v>
      </c>
      <c r="FV192" s="42" t="n">
        <f aca="false">IF(Tasks[[#This Row],[_IsLeaf]]=1,MAX(N(Tasks[[#This Row],[_Days]]),0.1),0)</f>
        <v>0</v>
      </c>
      <c r="FW192" s="42" t="n">
        <f aca="false">Tasks[[#This Row],[_WeightDur]]*Tasks[[#This Row],[_LeafProgress]]</f>
        <v>0</v>
      </c>
      <c r="FX192" s="42" t="n">
        <f aca="false">Tasks[[#This Row],[_WeightDur]]*Tasks[[#This Row],[_PlannedPct]]</f>
        <v>0</v>
      </c>
      <c r="FY1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2" s="42" t="str">
        <f aca="false">IF(AND(Tasks[[#This Row],[_IsLeaf]]=1,N(Tasks[[#This Row],[_Days]])=0,Tasks[[#This Row],[_LeafProgress]]&lt;1),Tasks[[#This Row],[_ShownFcstFinish]]+Tasks[[#This Row],[_Row]]/100000,"")</f>
        <v/>
      </c>
      <c r="GA1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2" s="42" t="str">
        <f aca="false">IF(Tasks[[#This Row],[Task Name]]="","",LEFT(Tasks[[#This Row],[WBS]],FIND(".",Tasks[[#This Row],[WBS]]&amp;".")-1))</f>
        <v/>
      </c>
      <c r="GC192" s="42" t="str">
        <f aca="false">IF(AND(Tasks[[#This Row],[Task Name]]&lt;&gt;"",Tasks[[#This Row],[_Level]]=1),Tasks[[#This Row],[_Row]],"")</f>
        <v/>
      </c>
      <c r="GD192" s="42" t="str">
        <f aca="false">IF(AND(Tasks[[#This Row],[_IsLeaf]]=1,N(Tasks[[#This Row],[_Days]])=0),Tasks[[#This Row],[Planned Finish]]+Tasks[[#This Row],[_Row]]/100000,"")</f>
        <v/>
      </c>
      <c r="GE192" s="42" t="str">
        <f aca="false">IF(AND(Tasks[[#This Row],[_IsLeaf]]=1,Tasks[[#This Row],[_LeafProgress]]&lt;1,OR(N(Tasks[[#This Row],[Finish Var]])&gt;0,Tasks[[#This Row],[Status]]="Late Start")),MAX(0,Tasks[[#This Row],[Finish Var]])+1-Tasks[[#This Row],[_Row]]/1000000,"")</f>
        <v/>
      </c>
      <c r="GF192" s="42" t="str">
        <f aca="false">IF(AND(Tasks[[#This Row],[_IsLeaf]]=1,N(Tasks[[#This Row],[Actual Start]])=0,Tasks[[#This Row],[_ShownFcstStart]]&gt;=StatusDate,Tasks[[#This Row],[_ShownFcstStart]]&lt;=LookaheadEnd),Tasks[[#This Row],[_ShownFcstStart]]+Tasks[[#This Row],[_Row]]/100000,"")</f>
        <v/>
      </c>
      <c r="GG192" s="42" t="str">
        <f aca="false">IF(AND(Tasks[[#This Row],[_IsLeaf]]=1,Tasks[[#This Row],[_LeafProgress]]&lt;1,Tasks[[#This Row],[_ShownFcstFinish]]&gt;=StatusDate,Tasks[[#This Row],[_ShownFcstFinish]]&lt;=LookaheadEnd),Tasks[[#This Row],[_ShownFcstFinish]]+Tasks[[#This Row],[_Row]]/100000,"")</f>
        <v/>
      </c>
      <c r="GH192" s="42" t="str">
        <f aca="false">IF(Tasks[[#This Row],[_LeafCritical]],Tasks[[#This Row],[_ShownFcstStart]]+Tasks[[#This Row],[_Row]]/100000,"")</f>
        <v/>
      </c>
      <c r="GI192" s="42" t="n">
        <f aca="false">Tasks[[#This Row],[_LeafWork]]*Tasks[[#This Row],[_LeafProgress]]</f>
        <v>0</v>
      </c>
      <c r="GJ192" s="89" t="str">
        <f aca="false">IF(AND(Tasks[[#This Row],[_IsLeaf]]=1,Tasks[[#This Row],[_LeafProgress]]&gt;=1),IF(N(Tasks[[#This Row],[Actual Finish]])&gt;0,Tasks[[#This Row],[Actual Finish]],Tasks[[#This Row],[_ShownFcstFinish]]),"")</f>
        <v/>
      </c>
      <c r="GK192" s="42" t="n">
        <f aca="false">IF(Tasks[[#This Row],[_IsLeaf]]=1,N(Tasks[[#This Row],[Story Points]]),0)</f>
        <v>0</v>
      </c>
      <c r="GL192" s="42" t="str">
        <f aca="false">""</f>
        <v/>
      </c>
      <c r="GM192" s="88" t="b">
        <f aca="false">IF(Tasks[[#This Row],[Task Name]]="",FALSE(),AND(Tasks[[#This Row],[_IsLeaf]]=1,N(Tasks[[#This Row],[_Days]])=0))</f>
        <v>0</v>
      </c>
      <c r="GN192" s="89" t="n">
        <f aca="false">IF(Tasks[[#This Row],[Task Name]]="",0,IF(AND(Tasks[[#This Row],[_IsLeaf]]=1,NOT(Tasks[[#This Row],[_IsMilestone]]),N(Tasks[[#This Row],[Progress]])&gt;0),Tasks[[#This Row],[Start]],0))</f>
        <v>0</v>
      </c>
      <c r="GO192" s="89" t="n">
        <f aca="false">IF(Tasks[[#This Row],[_DoneFrom]]=0,0,IF(Tasks[[#This Row],[Progress]]&gt;=1,Tasks[[#This Row],[Finish]],MAX(Tasks[[#This Row],[_DoneFrom]],Tasks[[#This Row],[Start]]+ROUND((Tasks[[#This Row],[Finish]]-Tasks[[#This Row],[Start]]+1)*Tasks[[#This Row],[Progress]],0)-1)))</f>
        <v>0</v>
      </c>
      <c r="GP192" s="89" t="n">
        <f aca="false">IF(Tasks[[#This Row],[Task Name]]="",0,IF(OR(NOT(Tasks[[#This Row],[_IsLeaf]]=1),Tasks[[#This Row],[_IsMilestone]],N(Tasks[[#This Row],[Progress]])&gt;=1),0,IF(Tasks[[#This Row],[_DoneTo]]&gt;0,Tasks[[#This Row],[_DoneTo]]+1,Tasks[[#This Row],[Start]])))</f>
        <v>0</v>
      </c>
      <c r="GQ192" s="89" t="n">
        <f aca="false">IF(Tasks[[#This Row],[_RemFrom]]=0,0,Tasks[[#This Row],[Finish]])</f>
        <v>0</v>
      </c>
      <c r="GR192" s="88" t="b">
        <f aca="false">IF(Tasks[[#This Row],[Task Name]]="",FALSE(),OR(NOT(BaselineSet),N(Tasks[[#This Row],[Baseline Start]])&gt;0))</f>
        <v>0</v>
      </c>
      <c r="GS1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2" s="90" t="str">
        <f aca="false">IF(Tasks[[#This Row],[_IsLeaf]]=1,Tasks[[#This Row],[_Row]],"")</f>
        <v/>
      </c>
      <c r="GW192" s="90" t="str">
        <f aca="false">IFERROR(INDEX(Tasks[UID],SMALL(Tasks[_PickKey],Tasks[[#This Row],[_Row]]))&amp;" "&amp;INDEX(Tasks[Task Name],SMALL(Tasks[_PickKey],Tasks[[#This Row],[_Row]])),"")</f>
        <v/>
      </c>
      <c r="GX192" s="42" t="str">
        <f aca="false">IF(Tasks[[#This Row],[Task Name]]="","",IF(Tasks[[#This Row],[_IsSummary]],NETWORKDAYS.INTL(Tasks[[#This Row],[Start]],Tasks[[#This Row],[Finish]],WorkWeek,Holidays),N(Tasks[[#This Row],[_Days]])))</f>
        <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3"/>
      <c r="U193" s="23"/>
      <c r="V193" s="83"/>
      <c r="W193" s="23"/>
      <c r="X193" s="83"/>
      <c r="Y193" s="23"/>
      <c r="Z193" s="83"/>
      <c r="AA193" s="23"/>
      <c r="AB193" s="23"/>
      <c r="AC193" s="7"/>
      <c r="AD193" s="7"/>
      <c r="AE193" s="62" t="str">
        <f aca="false">IF(Tasks[[#This Row],[Task Name]]="","",IF(Tasks[[#This Row],[_IsSummary]],MIN(INDEX(Tasks[_ShownFcstStart],Tasks[[#This Row],[_Row]]+1):INDEX(Tasks[_ShownFcstStart],Tasks[[#This Row],[_Row]]+Tasks[[#This Row],[_Descendants]])),Tasks[[#This Row],[_ShownFcstStart]]))</f>
        <v/>
      </c>
      <c r="AF193" s="62"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3" s="7"/>
      <c r="AK193" s="22"/>
      <c r="AL193" s="23"/>
      <c r="AM193" s="7"/>
      <c r="AN193" s="46"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2" t="str">
        <f aca="false">IF(Tasks[[#This Row],[Task Name]]="","",IF(N(Tasks[[#This Row],[Baseline Start]])&gt;0,Tasks[[#This Row],[Baseline Start]],Tasks[[#This Row],[_CalcStart]]))</f>
        <v/>
      </c>
      <c r="AR193" s="62" t="str">
        <f aca="false">IF(Tasks[[#This Row],[Task Name]]="","",IF(N(Tasks[[#This Row],[Baseline Finish]])&gt;0,Tasks[[#This Row],[Baseline Finish]],Tasks[[#This Row],[_CalcFinish]]))</f>
        <v/>
      </c>
      <c r="AS193" s="46" t="str">
        <f aca="false">IF(Tasks[[#This Row],[Task Name]]="","",IF(Tasks[[#This Row],[Start]]&gt;=Tasks[[#This Row],[Planned Start]],NETWORKDAYS.INTL(Tasks[[#This Row],[Planned Start]],Tasks[[#This Row],[Start]],WorkWeek,Holidays)-1,1-NETWORKDAYS.INTL(Tasks[[#This Row],[Start]],Tasks[[#This Row],[Planned Start]],WorkWeek,Holidays)))</f>
        <v/>
      </c>
      <c r="AT193" s="62" t="str">
        <f aca="false">IF(Tasks[[#This Row],[Task Name]]="","",IF(Tasks[[#This Row],[_IsSummary]],MIN(INDEX(Tasks[_LeafLateStart],Tasks[[#This Row],[_Row]]+1):INDEX(Tasks[_LeafLateStart],Tasks[[#This Row],[_Row]]+Tasks[[#This Row],[_Descendants]])),Tasks[[#This Row],[_LeafLateStart]]))</f>
        <v/>
      </c>
      <c r="AU193" s="62" t="str">
        <f aca="false">IF(Tasks[[#This Row],[Task Name]]="","",IF(Tasks[[#This Row],[_IsSummary]],MAX(INDEX(Tasks[_LeafLateFinish],Tasks[[#This Row],[_Row]]+1):INDEX(Tasks[_LeafLateFinish],Tasks[[#This Row],[_Row]]+Tasks[[#This Row],[_Descendants]])),Tasks[[#This Row],[_LeafLateFinish]]))</f>
        <v/>
      </c>
      <c r="AV193" s="46"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4"/>
      <c r="BA1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5"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6"/>
      <c r="BJ193" s="22"/>
      <c r="BK193" s="46" t="str">
        <f aca="false">IF(OR(Tasks[[#This Row],[Task Name]]="",Tasks[[#This Row],[Baseline Duration]]=""),"",Tasks[[#This Row],[_SpanDays]]-N(Tasks[[#This Row],[Baseline Duration]]))</f>
        <v/>
      </c>
      <c r="BL193" s="85" t="str">
        <f aca="false">IF(OR(Tasks[[#This Row],[Task Name]]="",Tasks[[#This Row],[Baseline Work]]=""),"",Tasks[[#This Row],[Work]]-N(Tasks[[#This Row],[Baseline Work]]))</f>
        <v/>
      </c>
      <c r="BM193" s="62" t="str">
        <f aca="false">IF(Tasks[[#This Row],[Task Name]]="","",IF(OR(TakeBaseline="Yes",N(Tasks[[#This Row],[Baseline Start]])=0),Tasks[[#This Row],[Start]],Tasks[[#This Row],[Baseline Start]]))</f>
        <v/>
      </c>
      <c r="BN193" s="62"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5" t="str">
        <f aca="false">IF(Tasks[[#This Row],[Task Name]]="","",IF(OR(TakeBaseline="Yes",N(Tasks[[#This Row],[Baseline Work]])=0),Tasks[[#This Row],[Work]],Tasks[[#This Row],[Baseline Work]]))</f>
        <v/>
      </c>
      <c r="BQ193" s="7"/>
      <c r="BR193" s="7"/>
      <c r="BS193" s="22"/>
      <c r="BT193" s="87"/>
      <c r="BU193" s="42" t="str">
        <f aca="false">IF(Tasks[[#This Row],[Task Name]]="","",MAX(1,N(Tasks[[#This Row],[Level]])))</f>
        <v/>
      </c>
      <c r="BV193" s="42" t="n">
        <f aca="false">ROW()-ROW(Tasks[[#Headers],[ID]])</f>
        <v>188</v>
      </c>
      <c r="BW193" s="42" t="n">
        <f aca="false">IF(OR(Tasks[[#This Row],[Task Name]]="",Tasks[[#This Row],[_Level]]&lt;=1),0,IFERROR(LOOKUP(2,1/(Tasks[[#Headers],[_Level]]:Tasks[[#This Row],[_Level]]=Tasks[[#This Row],[_Level]]-1),ROW(Tasks[[#Headers],[_Level]]:Tasks[[#This Row],[_Level]])),0))</f>
        <v>0</v>
      </c>
      <c r="BX193" s="42" t="n">
        <f aca="false">IFERROR(N(INDEX(Tasks[_Level],Tasks[[#This Row],[_Row]]+1)),0)</f>
        <v>0</v>
      </c>
      <c r="BY193" s="88" t="b">
        <f aca="false">AND(Tasks[[#This Row],[Task Name]]&lt;&gt;"",Tasks[[#This Row],[_NextLevel]]&gt;Tasks[[#This Row],[_Level]])</f>
        <v>0</v>
      </c>
      <c r="BZ193" s="42" t="n">
        <f aca="false">IF(Tasks[[#This Row],[_IsSummary]],COUNTIF(Tasks[WBS],Tasks[[#This Row],[WBS]]&amp;".*"),0)</f>
        <v>0</v>
      </c>
      <c r="CA193" s="42" t="n">
        <f aca="false">IF(AND(Tasks[[#This Row],[Task Name]]&lt;&gt;"",NOT(Tasks[[#This Row],[_IsSummary]])),1,0)</f>
        <v>0</v>
      </c>
      <c r="CB193" s="42" t="n">
        <f aca="false">IF(N(Tasks[[#This Row],[_Pred1UID]])=0,0,IFERROR(MATCH(Tasks[[#This Row],[_Pred1UID]],Tasks[UID],0),-1))</f>
        <v>0</v>
      </c>
      <c r="CC193" s="42" t="n">
        <f aca="false">IF(N(Tasks[[#This Row],[_Pred2UID]])=0,0,IFERROR(MATCH(Tasks[[#This Row],[_Pred2UID]],Tasks[UID],0),-1))</f>
        <v>0</v>
      </c>
      <c r="CD193" s="42" t="n">
        <f aca="false">IF(N(Tasks[[#This Row],[_Pred3UID]])=0,0,IFERROR(MATCH(Tasks[[#This Row],[_Pred3UID]],Tasks[UID],0),-1))</f>
        <v>0</v>
      </c>
      <c r="CE193" s="42" t="n">
        <f aca="false">IF(N(Tasks[[#This Row],[_Pred4UID]])=0,0,IFERROR(MATCH(Tasks[[#This Row],[_Pred4UID]],Tasks[UID],0),-1))</f>
        <v>0</v>
      </c>
      <c r="CF1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3" s="89" t="n">
        <f aca="false">IF(OR(Tasks[[#This Row],[_ConstraintCode]]=2,Tasks[[#This Row],[_ConstraintCode]]=3,Tasks[[#This Row],[_ConstraintCode]]=4,Tasks[[#This Row],[_ConstraintCode]]=6),Tasks[[#This Row],[_ConstraintStart]],0)</f>
        <v>0</v>
      </c>
      <c r="CI193" s="89" t="n">
        <f aca="false">IF(OR(Tasks[[#This Row],[_ConstraintCode]]=2,Tasks[[#This Row],[_ConstraintCode]]=3,Tasks[[#This Row],[_ConstraintCode]]=5,Tasks[[#This Row],[_ConstraintCode]]=7),Tasks[[#This Row],[_ConstraintStart]],2958465)</f>
        <v>2958465</v>
      </c>
      <c r="CJ1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3" s="89" t="str">
        <f aca="false">IF(NOT(Tasks[[#This Row],[_IsLeaf]]=1),"",IF(N(Tasks[[#This Row],[_Days]])&lt;=0,Tasks[[#This Row],[_LeafCalcStart]],WORKDAY.INTL(Tasks[[#This Row],[_LeafCalcStart]],Tasks[[#This Row],[_Days]]-1,WorkWeek,Holidays)))</f>
        <v/>
      </c>
      <c r="CL1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3" s="42" t="str">
        <f aca="false">IF(Tasks[[#This Row],[_Predecessors]]="","",TRIM(MID(SUBSTITUTE(SUBSTITUTE(SUBSTITUTE(UPPER(Tasks[[#This Row],[_Predecessors]]),";",",")," ",""),",",REPT(" ",99)),1,99)))</f>
        <v/>
      </c>
      <c r="CO193" s="42" t="str">
        <f aca="false">IF(Tasks[[#This Row],[_Pred1Text]]="","",IFERROR(VALUE(LEFT(Tasks[[#This Row],[_Pred1Text]],MIN(FIND("F",Tasks[[#This Row],[_Pred1Text]]&amp;"F"),FIND("S",Tasks[[#This Row],[_Pred1Text]]&amp;"S"),FIND("+",Tasks[[#This Row],[_Pred1Text]]&amp;"+"),FIND("-",Tasks[[#This Row],[_Pred1Text]]&amp;"-"))-1)),""))</f>
        <v/>
      </c>
      <c r="CP1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3" s="42" t="str">
        <f aca="false">IF(Tasks[[#This Row],[_Pred1Text]]="","",TRIM(MID(SUBSTITUTE(SUBSTITUTE(SUBSTITUTE(UPPER(Tasks[[#This Row],[_Predecessors]]),";",",")," ",""),",",REPT(" ",99)),100,99)))</f>
        <v/>
      </c>
      <c r="CS193" s="42" t="str">
        <f aca="false">IF(Tasks[[#This Row],[_Pred2Text]]="","",IFERROR(VALUE(LEFT(Tasks[[#This Row],[_Pred2Text]],MIN(FIND("F",Tasks[[#This Row],[_Pred2Text]]&amp;"F"),FIND("S",Tasks[[#This Row],[_Pred2Text]]&amp;"S"),FIND("+",Tasks[[#This Row],[_Pred2Text]]&amp;"+"),FIND("-",Tasks[[#This Row],[_Pred2Text]]&amp;"-"))-1)),""))</f>
        <v/>
      </c>
      <c r="CT1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3" s="42" t="str">
        <f aca="false">IF(Tasks[[#This Row],[_Pred2Text]]="","",TRIM(MID(SUBSTITUTE(SUBSTITUTE(SUBSTITUTE(UPPER(Tasks[[#This Row],[_Predecessors]]),";",",")," ",""),",",REPT(" ",99)),199,99)))</f>
        <v/>
      </c>
      <c r="CW193" s="42" t="str">
        <f aca="false">IF(Tasks[[#This Row],[_Pred3Text]]="","",IFERROR(VALUE(LEFT(Tasks[[#This Row],[_Pred3Text]],MIN(FIND("F",Tasks[[#This Row],[_Pred3Text]]&amp;"F"),FIND("S",Tasks[[#This Row],[_Pred3Text]]&amp;"S"),FIND("+",Tasks[[#This Row],[_Pred3Text]]&amp;"+"),FIND("-",Tasks[[#This Row],[_Pred3Text]]&amp;"-"))-1)),""))</f>
        <v/>
      </c>
      <c r="CX1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3" s="42" t="str">
        <f aca="false">IF(Tasks[[#This Row],[_Pred3Text]]="","",TRIM(MID(SUBSTITUTE(SUBSTITUTE(SUBSTITUTE(UPPER(Tasks[[#This Row],[_Predecessors]]),";",",")," ",""),",",REPT(" ",99)),298,99)))</f>
        <v/>
      </c>
      <c r="DA193" s="42" t="str">
        <f aca="false">IF(Tasks[[#This Row],[_Pred4Text]]="","",IFERROR(VALUE(LEFT(Tasks[[#This Row],[_Pred4Text]],MIN(FIND("F",Tasks[[#This Row],[_Pred4Text]]&amp;"F"),FIND("S",Tasks[[#This Row],[_Pred4Text]]&amp;"S"),FIND("+",Tasks[[#This Row],[_Pred4Text]]&amp;"+"),FIND("-",Tasks[[#This Row],[_Pred4Text]]&amp;"-"))-1)),""))</f>
        <v/>
      </c>
      <c r="DB1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3" s="42" t="str">
        <f aca="false">IF(OR(Tasks[[#This Row],[Task Name]]="",Tasks[[#This Row],[_Resources]]=""),"",TRIM(MID(SUBSTITUTE(Tasks[[#This Row],[_Resources]],",",REPT(" ",99)),1,99)))</f>
        <v/>
      </c>
      <c r="DE193" s="42" t="str">
        <f aca="false">IF(Tasks[[#This Row],[_Res1Text]]="","",TRIM(MID(SUBSTITUTE(Tasks[[#This Row],[_Resources]],",",REPT(" ",99)),100,99)))</f>
        <v/>
      </c>
      <c r="DF193" s="42" t="str">
        <f aca="false">IF(Tasks[[#This Row],[_Res2Text]]="","",TRIM(MID(SUBSTITUTE(Tasks[[#This Row],[_Resources]],",",REPT(" ",99)),199,99)))</f>
        <v/>
      </c>
      <c r="DG193" s="42" t="str">
        <f aca="false">IF(Tasks[[#This Row],[_Res3Text]]="","",TRIM(MID(SUBSTITUTE(Tasks[[#This Row],[_Resources]],",",REPT(" ",99)),298,99)))</f>
        <v/>
      </c>
      <c r="DH193" s="42" t="n">
        <f aca="false">IF(Tasks[[#This Row],[_Res1Text]]="",0,IFERROR(MATCH(TRIM(LEFT(Tasks[[#This Row],[_Res1Text]],FIND("[",Tasks[[#This Row],[_Res1Text]]&amp;"[")-1)),res_Name,0),IFERROR(MATCH(TRIM(LEFT(Tasks[[#This Row],[_Res1Text]],FIND("[",Tasks[[#This Row],[_Res1Text]]&amp;"[")-1)),res_Initials,0),0)))</f>
        <v>0</v>
      </c>
      <c r="DI193" s="42" t="n">
        <f aca="false">IF(Tasks[[#This Row],[_Res2Text]]="",0,IFERROR(MATCH(TRIM(LEFT(Tasks[[#This Row],[_Res2Text]],FIND("[",Tasks[[#This Row],[_Res2Text]]&amp;"[")-1)),res_Name,0),IFERROR(MATCH(TRIM(LEFT(Tasks[[#This Row],[_Res2Text]],FIND("[",Tasks[[#This Row],[_Res2Text]]&amp;"[")-1)),res_Initials,0),0)))</f>
        <v>0</v>
      </c>
      <c r="DJ193" s="42" t="n">
        <f aca="false">IF(Tasks[[#This Row],[_Res3Text]]="",0,IFERROR(MATCH(TRIM(LEFT(Tasks[[#This Row],[_Res3Text]],FIND("[",Tasks[[#This Row],[_Res3Text]]&amp;"[")-1)),res_Name,0),IFERROR(MATCH(TRIM(LEFT(Tasks[[#This Row],[_Res3Text]],FIND("[",Tasks[[#This Row],[_Res3Text]]&amp;"[")-1)),res_Initials,0),0)))</f>
        <v>0</v>
      </c>
      <c r="DK193" s="42" t="n">
        <f aca="false">IF(Tasks[[#This Row],[_Res4Text]]="",0,IFERROR(MATCH(TRIM(LEFT(Tasks[[#This Row],[_Res4Text]],FIND("[",Tasks[[#This Row],[_Res4Text]]&amp;"[")-1)),res_Name,0),IFERROR(MATCH(TRIM(LEFT(Tasks[[#This Row],[_Res4Text]],FIND("[",Tasks[[#This Row],[_Res4Text]]&amp;"[")-1)),res_Initials,0),0)))</f>
        <v>0</v>
      </c>
      <c r="DL193" s="42" t="str">
        <f aca="false">IF(Tasks[[#This Row],[_Res1Text]]="","",IF(Tasks[[#This Row],[_Res1Row]]&gt;0,INDEX(res_Name,Tasks[[#This Row],[_Res1Row]]),TRIM(LEFT(Tasks[[#This Row],[_Res1Text]],FIND("[",Tasks[[#This Row],[_Res1Text]]&amp;"[")-1))))</f>
        <v/>
      </c>
      <c r="DM1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3" s="42" t="n">
        <f aca="false">IF(NOT(Tasks[[#This Row],[_IsLeaf]]=1),0,(Tasks[[#This Row],[_Resource1]]&lt;&gt;"")+(Tasks[[#This Row],[_Res2]]&lt;&gt;"")+(Tasks[[#This Row],[_Res3]]&lt;&gt;"")+(Tasks[[#This Row],[_Res4]]&lt;&gt;""))</f>
        <v>0</v>
      </c>
      <c r="DO193" s="42" t="str">
        <f aca="false">IF(Tasks[[#This Row],[_Res2Text]]="","",IF(Tasks[[#This Row],[_Res2Row]]&gt;0,INDEX(res_Name,Tasks[[#This Row],[_Res2Row]]),TRIM(LEFT(Tasks[[#This Row],[_Res2Text]],FIND("[",Tasks[[#This Row],[_Res2Text]]&amp;"[")-1))))</f>
        <v/>
      </c>
      <c r="DP1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3" s="42" t="n">
        <f aca="false">IF(OR(NOT(Tasks[[#This Row],[_IsLeaf]]=1),Tasks[[#This Row],[_Res2Row]]=0),0,N(Tasks[[#This Row],[_Days]])*HoursPerDay*IF(Tasks[[#This Row],[_Res2Units]]="",DefaultUnits,Tasks[[#This Row],[_Res2Units]]))</f>
        <v>0</v>
      </c>
      <c r="DR193" s="42" t="n">
        <f aca="false">IF(AND(AND(Tasks[[#This Row],[_IsLeaf]]=1,Tasks[[#This Row],[_LeafTotalWork]]&gt;0),Tasks[[#This Row],[_Res2Work]]&gt;0),Tasks[[#This Row],[_Res2Work]]/(Tasks[[#This Row],[_FinishWorkday]]-Tasks[[#This Row],[_StartWorkday]]+1),0)</f>
        <v>0</v>
      </c>
      <c r="DS193" s="42" t="n">
        <f aca="false">Tasks[[#This Row],[_Res2WorkPerWD]]*MAX(0,Tasks[[#This Row],[_StartWorkday]]-1)</f>
        <v>0</v>
      </c>
      <c r="DT193" s="42" t="n">
        <f aca="false">Tasks[[#This Row],[_Res2Work]]*Tasks[[#This Row],[_LeafProgress]]</f>
        <v>0</v>
      </c>
      <c r="DU193" s="42" t="str">
        <f aca="false">IF(Tasks[[#This Row],[_Res3Text]]="","",IF(Tasks[[#This Row],[_Res3Row]]&gt;0,INDEX(res_Name,Tasks[[#This Row],[_Res3Row]]),TRIM(LEFT(Tasks[[#This Row],[_Res3Text]],FIND("[",Tasks[[#This Row],[_Res3Text]]&amp;"[")-1))))</f>
        <v/>
      </c>
      <c r="DV1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3" s="42" t="n">
        <f aca="false">IF(OR(NOT(Tasks[[#This Row],[_IsLeaf]]=1),Tasks[[#This Row],[_Res3Row]]=0),0,N(Tasks[[#This Row],[_Days]])*HoursPerDay*IF(Tasks[[#This Row],[_Res3Units]]="",DefaultUnits,Tasks[[#This Row],[_Res3Units]]))</f>
        <v>0</v>
      </c>
      <c r="DX193" s="42" t="n">
        <f aca="false">IF(AND(AND(Tasks[[#This Row],[_IsLeaf]]=1,Tasks[[#This Row],[_LeafTotalWork]]&gt;0),Tasks[[#This Row],[_Res3Work]]&gt;0),Tasks[[#This Row],[_Res3Work]]/(Tasks[[#This Row],[_FinishWorkday]]-Tasks[[#This Row],[_StartWorkday]]+1),0)</f>
        <v>0</v>
      </c>
      <c r="DY193" s="42" t="n">
        <f aca="false">Tasks[[#This Row],[_Res3WorkPerWD]]*MAX(0,Tasks[[#This Row],[_StartWorkday]]-1)</f>
        <v>0</v>
      </c>
      <c r="DZ193" s="42" t="n">
        <f aca="false">Tasks[[#This Row],[_Res3Work]]*Tasks[[#This Row],[_LeafProgress]]</f>
        <v>0</v>
      </c>
      <c r="EA193" s="42" t="str">
        <f aca="false">IF(Tasks[[#This Row],[_Res4Text]]="","",IF(Tasks[[#This Row],[_Res4Row]]&gt;0,INDEX(res_Name,Tasks[[#This Row],[_Res4Row]]),TRIM(LEFT(Tasks[[#This Row],[_Res4Text]],FIND("[",Tasks[[#This Row],[_Res4Text]]&amp;"[")-1))))</f>
        <v/>
      </c>
      <c r="EB1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3" s="42" t="n">
        <f aca="false">IF(OR(NOT(Tasks[[#This Row],[_IsLeaf]]=1),Tasks[[#This Row],[_Res4Row]]=0),0,N(Tasks[[#This Row],[_Days]])*HoursPerDay*IF(Tasks[[#This Row],[_Res4Units]]="",DefaultUnits,Tasks[[#This Row],[_Res4Units]]))</f>
        <v>0</v>
      </c>
      <c r="ED193" s="42" t="n">
        <f aca="false">IF(AND(AND(Tasks[[#This Row],[_IsLeaf]]=1,Tasks[[#This Row],[_LeafTotalWork]]&gt;0),Tasks[[#This Row],[_Res4Work]]&gt;0),Tasks[[#This Row],[_Res4Work]]/(Tasks[[#This Row],[_FinishWorkday]]-Tasks[[#This Row],[_StartWorkday]]+1),0)</f>
        <v>0</v>
      </c>
      <c r="EE193" s="42" t="n">
        <f aca="false">Tasks[[#This Row],[_Res4WorkPerWD]]*MAX(0,Tasks[[#This Row],[_StartWorkday]]-1)</f>
        <v>0</v>
      </c>
      <c r="EF193" s="42" t="n">
        <f aca="false">Tasks[[#This Row],[_Res4Work]]*Tasks[[#This Row],[_LeafProgress]]</f>
        <v>0</v>
      </c>
      <c r="EG193" s="42" t="n">
        <f aca="false">IF(ISNUMBER(Tasks[[#This Row],[% Complete]]),Tasks[[#This Row],[% Complete]],IF(Tasks[[#This Row],[Stage]]="",0,IFERROR(INDEX(stg_Pct,MATCH(Tasks[[#This Row],[Stage]],stg_Name,0)),0)))</f>
        <v>0</v>
      </c>
      <c r="EH193" s="42" t="n">
        <f aca="false">IF(NOT(Tasks[[#This Row],[_IsLeaf]]=1),0,IF(N(Tasks[[#This Row],[Actual Finish]])&gt;0,1,MIN(1,Tasks[[#This Row],[_Pct]])))</f>
        <v>0</v>
      </c>
      <c r="EI193" s="42" t="n">
        <f aca="false">IF(OR(NOT(Tasks[[#This Row],[_IsLeaf]]=1),Tasks[[#This Row],[_Res1Row]]=0),0,N(Tasks[[#This Row],[_Days]])*HoursPerDay*IF(Tasks[[#This Row],[_Units1]]="",DefaultUnits,Tasks[[#This Row],[_Units1]]))</f>
        <v>0</v>
      </c>
      <c r="EJ193" s="42" t="n">
        <f aca="false">Tasks[[#This Row],[_LeafWork]]+Tasks[[#This Row],[_Res2Work]]+Tasks[[#This Row],[_Res3Work]]+Tasks[[#This Row],[_Res4Work]]</f>
        <v>0</v>
      </c>
      <c r="EK1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3" s="42" t="n">
        <f aca="false">IF(NOT(Tasks[[#This Row],[_IsLeaf]]=1),0,MAX(_xlfn.MAXIFS(Tasks[_Row],Tasks[_Pred1UID],Tasks[[#This Row],[UID]]),_xlfn.MAXIFS(Tasks[_Row],Tasks[_Pred2UID],Tasks[[#This Row],[UID]]),_xlfn.MAXIFS(Tasks[_Row],Tasks[_Pred3UID],Tasks[[#This Row],[UID]]),_xlfn.MAXIFS(Tasks[_Row],Tasks[_Pred4UID],Tasks[[#This Row],[UID]])))</f>
        <v>0</v>
      </c>
      <c r="ET1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3" s="89" t="str">
        <f aca="false">IF(NOT(Tasks[[#This Row],[_IsLeaf]]=1),"",IF(N(Tasks[[#This Row],[_Days]])&lt;=0,Tasks[[#This Row],[_LeafLateFinish]],WORKDAY.INTL(Tasks[[#This Row],[_LeafLateFinish]],-(Tasks[[#This Row],[_Days]]-1),WorkWeek,Holidays)))</f>
        <v/>
      </c>
      <c r="EW1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3" s="88" t="b">
        <f aca="false">AND(Tasks[[#This Row],[_IsLeaf]]=1,Tasks[[#This Row],[_LeafProgress]]&lt;1,N(Tasks[[#This Row],[_LeafTotalSlack]])&lt;=CriticalSlackDays)</f>
        <v>0</v>
      </c>
      <c r="EY193" s="42" t="n">
        <f aca="false">IF(AND(Tasks[[#This Row],[_IsLeaf]]=1,Tasks[[#This Row],[_ConstraintCode]]=1,Tasks[[#This Row],[Mode]]&lt;&gt;"Manual",N(Tasks[[#This Row],[Actual Start]])=0),MAX(0,N(Tasks[[#This Row],[Free Slack]])),0)</f>
        <v>0</v>
      </c>
      <c r="EZ193" s="89" t="str">
        <f aca="false">IF(NOT(Tasks[[#This Row],[_IsLeaf]]=1),"",IF(Tasks[[#This Row],[_AlapShift]]=0,Tasks[[#This Row],[_LeafCalcStart]],WORKDAY.INTL(Tasks[[#This Row],[_LeafCalcStart]],Tasks[[#This Row],[_AlapShift]],WorkWeek,Holidays)))</f>
        <v/>
      </c>
      <c r="FA193" s="89" t="str">
        <f aca="false">IF(NOT(Tasks[[#This Row],[_IsLeaf]]=1),"",IF(Tasks[[#This Row],[_AlapShift]]=0,Tasks[[#This Row],[_LeafCalcFinish]],WORKDAY.INTL(Tasks[[#This Row],[_LeafCalcFinish]],Tasks[[#This Row],[_AlapShift]],WorkWeek,Holidays)))</f>
        <v/>
      </c>
      <c r="FB193" s="89" t="str">
        <f aca="false">IF(NOT(Tasks[[#This Row],[_IsLeaf]]=1),"",IF(Tasks[[#This Row],[_AlapShift]]=0,Tasks[[#This Row],[_LeafFcstStart]],WORKDAY.INTL(Tasks[[#This Row],[_LeafFcstStart]],Tasks[[#This Row],[_AlapShift]],WorkWeek,Holidays)))</f>
        <v/>
      </c>
      <c r="FC193" s="89" t="str">
        <f aca="false">IF(NOT(Tasks[[#This Row],[_IsLeaf]]=1),"",IF(Tasks[[#This Row],[_AlapShift]]=0,Tasks[[#This Row],[_LeafFcstFinish]],WORKDAY.INTL(Tasks[[#This Row],[_LeafFcstFinish]],Tasks[[#This Row],[_AlapShift]],WorkWeek,Holidays)))</f>
        <v/>
      </c>
      <c r="FD193" s="89" t="str">
        <f aca="false">IF(Tasks[[#This Row],[Task Name]]="","",IF(Tasks[[#This Row],[_IsSummary]],MIN(INDEX(Tasks[_ShownCalcStart],Tasks[[#This Row],[_Row]]+1):INDEX(Tasks[_ShownCalcStart],Tasks[[#This Row],[_Row]]+Tasks[[#This Row],[_Descendants]])),Tasks[[#This Row],[_ShownCalcStart]]))</f>
        <v/>
      </c>
      <c r="FE193" s="89" t="str">
        <f aca="false">IF(Tasks[[#This Row],[Task Name]]="","",IF(Tasks[[#This Row],[_IsSummary]],MAX(INDEX(Tasks[_ShownCalcFinish],Tasks[[#This Row],[_Row]]+1):INDEX(Tasks[_ShownCalcFinish],Tasks[[#This Row],[_Row]]+Tasks[[#This Row],[_Descendants]])),Tasks[[#This Row],[_ShownCalcFinish]]))</f>
        <v/>
      </c>
      <c r="FF1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3" s="42" t="n">
        <f aca="false">IF(AND(Tasks[[#This Row],[_IsLeaf]]=1,Tasks[[#This Row],[_LeafTotalWork]]&gt;0),NETWORKDAYS.INTL(ProjectStart,Tasks[[#This Row],[_ShownFcstStart]],WorkWeek,Holidays),0)</f>
        <v>0</v>
      </c>
      <c r="FS193" s="42" t="n">
        <f aca="false">IF(AND(Tasks[[#This Row],[_IsLeaf]]=1,Tasks[[#This Row],[_LeafTotalWork]]&gt;0),MAX(Tasks[[#This Row],[_StartWorkday]],NETWORKDAYS.INTL(ProjectStart,Tasks[[#This Row],[_ShownFcstFinish]],WorkWeek,Holidays)),0)</f>
        <v>0</v>
      </c>
      <c r="FT193" s="42" t="n">
        <f aca="false">IF(AND(Tasks[[#This Row],[_IsLeaf]]=1,Tasks[[#This Row],[_LeafTotalWork]]&gt;0),Tasks[[#This Row],[_LeafWork]]/(Tasks[[#This Row],[_FinishWorkday]]-Tasks[[#This Row],[_StartWorkday]]+1),0)</f>
        <v>0</v>
      </c>
      <c r="FU193" s="42" t="n">
        <f aca="false">Tasks[[#This Row],[_WorkPerWorkday]]*(Tasks[[#This Row],[_StartWorkday]]-1)</f>
        <v>-0</v>
      </c>
      <c r="FV193" s="42" t="n">
        <f aca="false">IF(Tasks[[#This Row],[_IsLeaf]]=1,MAX(N(Tasks[[#This Row],[_Days]]),0.1),0)</f>
        <v>0</v>
      </c>
      <c r="FW193" s="42" t="n">
        <f aca="false">Tasks[[#This Row],[_WeightDur]]*Tasks[[#This Row],[_LeafProgress]]</f>
        <v>0</v>
      </c>
      <c r="FX193" s="42" t="n">
        <f aca="false">Tasks[[#This Row],[_WeightDur]]*Tasks[[#This Row],[_PlannedPct]]</f>
        <v>0</v>
      </c>
      <c r="FY1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3" s="42" t="str">
        <f aca="false">IF(AND(Tasks[[#This Row],[_IsLeaf]]=1,N(Tasks[[#This Row],[_Days]])=0,Tasks[[#This Row],[_LeafProgress]]&lt;1),Tasks[[#This Row],[_ShownFcstFinish]]+Tasks[[#This Row],[_Row]]/100000,"")</f>
        <v/>
      </c>
      <c r="GA1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3" s="42" t="str">
        <f aca="false">IF(Tasks[[#This Row],[Task Name]]="","",LEFT(Tasks[[#This Row],[WBS]],FIND(".",Tasks[[#This Row],[WBS]]&amp;".")-1))</f>
        <v/>
      </c>
      <c r="GC193" s="42" t="str">
        <f aca="false">IF(AND(Tasks[[#This Row],[Task Name]]&lt;&gt;"",Tasks[[#This Row],[_Level]]=1),Tasks[[#This Row],[_Row]],"")</f>
        <v/>
      </c>
      <c r="GD193" s="42" t="str">
        <f aca="false">IF(AND(Tasks[[#This Row],[_IsLeaf]]=1,N(Tasks[[#This Row],[_Days]])=0),Tasks[[#This Row],[Planned Finish]]+Tasks[[#This Row],[_Row]]/100000,"")</f>
        <v/>
      </c>
      <c r="GE193" s="42" t="str">
        <f aca="false">IF(AND(Tasks[[#This Row],[_IsLeaf]]=1,Tasks[[#This Row],[_LeafProgress]]&lt;1,OR(N(Tasks[[#This Row],[Finish Var]])&gt;0,Tasks[[#This Row],[Status]]="Late Start")),MAX(0,Tasks[[#This Row],[Finish Var]])+1-Tasks[[#This Row],[_Row]]/1000000,"")</f>
        <v/>
      </c>
      <c r="GF193" s="42" t="str">
        <f aca="false">IF(AND(Tasks[[#This Row],[_IsLeaf]]=1,N(Tasks[[#This Row],[Actual Start]])=0,Tasks[[#This Row],[_ShownFcstStart]]&gt;=StatusDate,Tasks[[#This Row],[_ShownFcstStart]]&lt;=LookaheadEnd),Tasks[[#This Row],[_ShownFcstStart]]+Tasks[[#This Row],[_Row]]/100000,"")</f>
        <v/>
      </c>
      <c r="GG193" s="42" t="str">
        <f aca="false">IF(AND(Tasks[[#This Row],[_IsLeaf]]=1,Tasks[[#This Row],[_LeafProgress]]&lt;1,Tasks[[#This Row],[_ShownFcstFinish]]&gt;=StatusDate,Tasks[[#This Row],[_ShownFcstFinish]]&lt;=LookaheadEnd),Tasks[[#This Row],[_ShownFcstFinish]]+Tasks[[#This Row],[_Row]]/100000,"")</f>
        <v/>
      </c>
      <c r="GH193" s="42" t="str">
        <f aca="false">IF(Tasks[[#This Row],[_LeafCritical]],Tasks[[#This Row],[_ShownFcstStart]]+Tasks[[#This Row],[_Row]]/100000,"")</f>
        <v/>
      </c>
      <c r="GI193" s="42" t="n">
        <f aca="false">Tasks[[#This Row],[_LeafWork]]*Tasks[[#This Row],[_LeafProgress]]</f>
        <v>0</v>
      </c>
      <c r="GJ193" s="89" t="str">
        <f aca="false">IF(AND(Tasks[[#This Row],[_IsLeaf]]=1,Tasks[[#This Row],[_LeafProgress]]&gt;=1),IF(N(Tasks[[#This Row],[Actual Finish]])&gt;0,Tasks[[#This Row],[Actual Finish]],Tasks[[#This Row],[_ShownFcstFinish]]),"")</f>
        <v/>
      </c>
      <c r="GK193" s="42" t="n">
        <f aca="false">IF(Tasks[[#This Row],[_IsLeaf]]=1,N(Tasks[[#This Row],[Story Points]]),0)</f>
        <v>0</v>
      </c>
      <c r="GL193" s="42" t="str">
        <f aca="false">""</f>
        <v/>
      </c>
      <c r="GM193" s="88" t="b">
        <f aca="false">IF(Tasks[[#This Row],[Task Name]]="",FALSE(),AND(Tasks[[#This Row],[_IsLeaf]]=1,N(Tasks[[#This Row],[_Days]])=0))</f>
        <v>0</v>
      </c>
      <c r="GN193" s="89" t="n">
        <f aca="false">IF(Tasks[[#This Row],[Task Name]]="",0,IF(AND(Tasks[[#This Row],[_IsLeaf]]=1,NOT(Tasks[[#This Row],[_IsMilestone]]),N(Tasks[[#This Row],[Progress]])&gt;0),Tasks[[#This Row],[Start]],0))</f>
        <v>0</v>
      </c>
      <c r="GO193" s="89" t="n">
        <f aca="false">IF(Tasks[[#This Row],[_DoneFrom]]=0,0,IF(Tasks[[#This Row],[Progress]]&gt;=1,Tasks[[#This Row],[Finish]],MAX(Tasks[[#This Row],[_DoneFrom]],Tasks[[#This Row],[Start]]+ROUND((Tasks[[#This Row],[Finish]]-Tasks[[#This Row],[Start]]+1)*Tasks[[#This Row],[Progress]],0)-1)))</f>
        <v>0</v>
      </c>
      <c r="GP193" s="89" t="n">
        <f aca="false">IF(Tasks[[#This Row],[Task Name]]="",0,IF(OR(NOT(Tasks[[#This Row],[_IsLeaf]]=1),Tasks[[#This Row],[_IsMilestone]],N(Tasks[[#This Row],[Progress]])&gt;=1),0,IF(Tasks[[#This Row],[_DoneTo]]&gt;0,Tasks[[#This Row],[_DoneTo]]+1,Tasks[[#This Row],[Start]])))</f>
        <v>0</v>
      </c>
      <c r="GQ193" s="89" t="n">
        <f aca="false">IF(Tasks[[#This Row],[_RemFrom]]=0,0,Tasks[[#This Row],[Finish]])</f>
        <v>0</v>
      </c>
      <c r="GR193" s="88" t="b">
        <f aca="false">IF(Tasks[[#This Row],[Task Name]]="",FALSE(),OR(NOT(BaselineSet),N(Tasks[[#This Row],[Baseline Start]])&gt;0))</f>
        <v>0</v>
      </c>
      <c r="GS1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3" s="90" t="str">
        <f aca="false">IF(Tasks[[#This Row],[_IsLeaf]]=1,Tasks[[#This Row],[_Row]],"")</f>
        <v/>
      </c>
      <c r="GW193" s="90" t="str">
        <f aca="false">IFERROR(INDEX(Tasks[UID],SMALL(Tasks[_PickKey],Tasks[[#This Row],[_Row]]))&amp;" "&amp;INDEX(Tasks[Task Name],SMALL(Tasks[_PickKey],Tasks[[#This Row],[_Row]])),"")</f>
        <v/>
      </c>
      <c r="GX193" s="42" t="str">
        <f aca="false">IF(Tasks[[#This Row],[Task Name]]="","",IF(Tasks[[#This Row],[_IsSummary]],NETWORKDAYS.INTL(Tasks[[#This Row],[Start]],Tasks[[#This Row],[Finish]],WorkWeek,Holidays),N(Tasks[[#This Row],[_Days]])))</f>
        <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3"/>
      <c r="U194" s="23"/>
      <c r="V194" s="83"/>
      <c r="W194" s="23"/>
      <c r="X194" s="83"/>
      <c r="Y194" s="23"/>
      <c r="Z194" s="83"/>
      <c r="AA194" s="23"/>
      <c r="AB194" s="23"/>
      <c r="AC194" s="7"/>
      <c r="AD194" s="7"/>
      <c r="AE194" s="62" t="str">
        <f aca="false">IF(Tasks[[#This Row],[Task Name]]="","",IF(Tasks[[#This Row],[_IsSummary]],MIN(INDEX(Tasks[_ShownFcstStart],Tasks[[#This Row],[_Row]]+1):INDEX(Tasks[_ShownFcstStart],Tasks[[#This Row],[_Row]]+Tasks[[#This Row],[_Descendants]])),Tasks[[#This Row],[_ShownFcstStart]]))</f>
        <v/>
      </c>
      <c r="AF194" s="62"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4" s="7"/>
      <c r="AK194" s="22"/>
      <c r="AL194" s="23"/>
      <c r="AM194" s="7"/>
      <c r="AN194" s="46"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2" t="str">
        <f aca="false">IF(Tasks[[#This Row],[Task Name]]="","",IF(N(Tasks[[#This Row],[Baseline Start]])&gt;0,Tasks[[#This Row],[Baseline Start]],Tasks[[#This Row],[_CalcStart]]))</f>
        <v/>
      </c>
      <c r="AR194" s="62" t="str">
        <f aca="false">IF(Tasks[[#This Row],[Task Name]]="","",IF(N(Tasks[[#This Row],[Baseline Finish]])&gt;0,Tasks[[#This Row],[Baseline Finish]],Tasks[[#This Row],[_CalcFinish]]))</f>
        <v/>
      </c>
      <c r="AS194" s="46" t="str">
        <f aca="false">IF(Tasks[[#This Row],[Task Name]]="","",IF(Tasks[[#This Row],[Start]]&gt;=Tasks[[#This Row],[Planned Start]],NETWORKDAYS.INTL(Tasks[[#This Row],[Planned Start]],Tasks[[#This Row],[Start]],WorkWeek,Holidays)-1,1-NETWORKDAYS.INTL(Tasks[[#This Row],[Start]],Tasks[[#This Row],[Planned Start]],WorkWeek,Holidays)))</f>
        <v/>
      </c>
      <c r="AT194" s="62" t="str">
        <f aca="false">IF(Tasks[[#This Row],[Task Name]]="","",IF(Tasks[[#This Row],[_IsSummary]],MIN(INDEX(Tasks[_LeafLateStart],Tasks[[#This Row],[_Row]]+1):INDEX(Tasks[_LeafLateStart],Tasks[[#This Row],[_Row]]+Tasks[[#This Row],[_Descendants]])),Tasks[[#This Row],[_LeafLateStart]]))</f>
        <v/>
      </c>
      <c r="AU194" s="62" t="str">
        <f aca="false">IF(Tasks[[#This Row],[Task Name]]="","",IF(Tasks[[#This Row],[_IsSummary]],MAX(INDEX(Tasks[_LeafLateFinish],Tasks[[#This Row],[_Row]]+1):INDEX(Tasks[_LeafLateFinish],Tasks[[#This Row],[_Row]]+Tasks[[#This Row],[_Descendants]])),Tasks[[#This Row],[_LeafLateFinish]]))</f>
        <v/>
      </c>
      <c r="AV194" s="46"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4"/>
      <c r="BA1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5"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6"/>
      <c r="BJ194" s="22"/>
      <c r="BK194" s="46" t="str">
        <f aca="false">IF(OR(Tasks[[#This Row],[Task Name]]="",Tasks[[#This Row],[Baseline Duration]]=""),"",Tasks[[#This Row],[_SpanDays]]-N(Tasks[[#This Row],[Baseline Duration]]))</f>
        <v/>
      </c>
      <c r="BL194" s="85" t="str">
        <f aca="false">IF(OR(Tasks[[#This Row],[Task Name]]="",Tasks[[#This Row],[Baseline Work]]=""),"",Tasks[[#This Row],[Work]]-N(Tasks[[#This Row],[Baseline Work]]))</f>
        <v/>
      </c>
      <c r="BM194" s="62" t="str">
        <f aca="false">IF(Tasks[[#This Row],[Task Name]]="","",IF(OR(TakeBaseline="Yes",N(Tasks[[#This Row],[Baseline Start]])=0),Tasks[[#This Row],[Start]],Tasks[[#This Row],[Baseline Start]]))</f>
        <v/>
      </c>
      <c r="BN194" s="62"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5" t="str">
        <f aca="false">IF(Tasks[[#This Row],[Task Name]]="","",IF(OR(TakeBaseline="Yes",N(Tasks[[#This Row],[Baseline Work]])=0),Tasks[[#This Row],[Work]],Tasks[[#This Row],[Baseline Work]]))</f>
        <v/>
      </c>
      <c r="BQ194" s="7"/>
      <c r="BR194" s="7"/>
      <c r="BS194" s="22"/>
      <c r="BT194" s="87"/>
      <c r="BU194" s="42" t="str">
        <f aca="false">IF(Tasks[[#This Row],[Task Name]]="","",MAX(1,N(Tasks[[#This Row],[Level]])))</f>
        <v/>
      </c>
      <c r="BV194" s="42" t="n">
        <f aca="false">ROW()-ROW(Tasks[[#Headers],[ID]])</f>
        <v>189</v>
      </c>
      <c r="BW194" s="42" t="n">
        <f aca="false">IF(OR(Tasks[[#This Row],[Task Name]]="",Tasks[[#This Row],[_Level]]&lt;=1),0,IFERROR(LOOKUP(2,1/(Tasks[[#Headers],[_Level]]:Tasks[[#This Row],[_Level]]=Tasks[[#This Row],[_Level]]-1),ROW(Tasks[[#Headers],[_Level]]:Tasks[[#This Row],[_Level]])),0))</f>
        <v>0</v>
      </c>
      <c r="BX194" s="42" t="n">
        <f aca="false">IFERROR(N(INDEX(Tasks[_Level],Tasks[[#This Row],[_Row]]+1)),0)</f>
        <v>0</v>
      </c>
      <c r="BY194" s="88" t="b">
        <f aca="false">AND(Tasks[[#This Row],[Task Name]]&lt;&gt;"",Tasks[[#This Row],[_NextLevel]]&gt;Tasks[[#This Row],[_Level]])</f>
        <v>0</v>
      </c>
      <c r="BZ194" s="42" t="n">
        <f aca="false">IF(Tasks[[#This Row],[_IsSummary]],COUNTIF(Tasks[WBS],Tasks[[#This Row],[WBS]]&amp;".*"),0)</f>
        <v>0</v>
      </c>
      <c r="CA194" s="42" t="n">
        <f aca="false">IF(AND(Tasks[[#This Row],[Task Name]]&lt;&gt;"",NOT(Tasks[[#This Row],[_IsSummary]])),1,0)</f>
        <v>0</v>
      </c>
      <c r="CB194" s="42" t="n">
        <f aca="false">IF(N(Tasks[[#This Row],[_Pred1UID]])=0,0,IFERROR(MATCH(Tasks[[#This Row],[_Pred1UID]],Tasks[UID],0),-1))</f>
        <v>0</v>
      </c>
      <c r="CC194" s="42" t="n">
        <f aca="false">IF(N(Tasks[[#This Row],[_Pred2UID]])=0,0,IFERROR(MATCH(Tasks[[#This Row],[_Pred2UID]],Tasks[UID],0),-1))</f>
        <v>0</v>
      </c>
      <c r="CD194" s="42" t="n">
        <f aca="false">IF(N(Tasks[[#This Row],[_Pred3UID]])=0,0,IFERROR(MATCH(Tasks[[#This Row],[_Pred3UID]],Tasks[UID],0),-1))</f>
        <v>0</v>
      </c>
      <c r="CE194" s="42" t="n">
        <f aca="false">IF(N(Tasks[[#This Row],[_Pred4UID]])=0,0,IFERROR(MATCH(Tasks[[#This Row],[_Pred4UID]],Tasks[UID],0),-1))</f>
        <v>0</v>
      </c>
      <c r="CF1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4" s="89" t="n">
        <f aca="false">IF(OR(Tasks[[#This Row],[_ConstraintCode]]=2,Tasks[[#This Row],[_ConstraintCode]]=3,Tasks[[#This Row],[_ConstraintCode]]=4,Tasks[[#This Row],[_ConstraintCode]]=6),Tasks[[#This Row],[_ConstraintStart]],0)</f>
        <v>0</v>
      </c>
      <c r="CI194" s="89" t="n">
        <f aca="false">IF(OR(Tasks[[#This Row],[_ConstraintCode]]=2,Tasks[[#This Row],[_ConstraintCode]]=3,Tasks[[#This Row],[_ConstraintCode]]=5,Tasks[[#This Row],[_ConstraintCode]]=7),Tasks[[#This Row],[_ConstraintStart]],2958465)</f>
        <v>2958465</v>
      </c>
      <c r="CJ1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4" s="89" t="str">
        <f aca="false">IF(NOT(Tasks[[#This Row],[_IsLeaf]]=1),"",IF(N(Tasks[[#This Row],[_Days]])&lt;=0,Tasks[[#This Row],[_LeafCalcStart]],WORKDAY.INTL(Tasks[[#This Row],[_LeafCalcStart]],Tasks[[#This Row],[_Days]]-1,WorkWeek,Holidays)))</f>
        <v/>
      </c>
      <c r="CL1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4" s="42" t="str">
        <f aca="false">IF(Tasks[[#This Row],[_Predecessors]]="","",TRIM(MID(SUBSTITUTE(SUBSTITUTE(SUBSTITUTE(UPPER(Tasks[[#This Row],[_Predecessors]]),";",",")," ",""),",",REPT(" ",99)),1,99)))</f>
        <v/>
      </c>
      <c r="CO194" s="42" t="str">
        <f aca="false">IF(Tasks[[#This Row],[_Pred1Text]]="","",IFERROR(VALUE(LEFT(Tasks[[#This Row],[_Pred1Text]],MIN(FIND("F",Tasks[[#This Row],[_Pred1Text]]&amp;"F"),FIND("S",Tasks[[#This Row],[_Pred1Text]]&amp;"S"),FIND("+",Tasks[[#This Row],[_Pred1Text]]&amp;"+"),FIND("-",Tasks[[#This Row],[_Pred1Text]]&amp;"-"))-1)),""))</f>
        <v/>
      </c>
      <c r="CP1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4" s="42" t="str">
        <f aca="false">IF(Tasks[[#This Row],[_Pred1Text]]="","",TRIM(MID(SUBSTITUTE(SUBSTITUTE(SUBSTITUTE(UPPER(Tasks[[#This Row],[_Predecessors]]),";",",")," ",""),",",REPT(" ",99)),100,99)))</f>
        <v/>
      </c>
      <c r="CS194" s="42" t="str">
        <f aca="false">IF(Tasks[[#This Row],[_Pred2Text]]="","",IFERROR(VALUE(LEFT(Tasks[[#This Row],[_Pred2Text]],MIN(FIND("F",Tasks[[#This Row],[_Pred2Text]]&amp;"F"),FIND("S",Tasks[[#This Row],[_Pred2Text]]&amp;"S"),FIND("+",Tasks[[#This Row],[_Pred2Text]]&amp;"+"),FIND("-",Tasks[[#This Row],[_Pred2Text]]&amp;"-"))-1)),""))</f>
        <v/>
      </c>
      <c r="CT1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4" s="42" t="str">
        <f aca="false">IF(Tasks[[#This Row],[_Pred2Text]]="","",TRIM(MID(SUBSTITUTE(SUBSTITUTE(SUBSTITUTE(UPPER(Tasks[[#This Row],[_Predecessors]]),";",",")," ",""),",",REPT(" ",99)),199,99)))</f>
        <v/>
      </c>
      <c r="CW194" s="42" t="str">
        <f aca="false">IF(Tasks[[#This Row],[_Pred3Text]]="","",IFERROR(VALUE(LEFT(Tasks[[#This Row],[_Pred3Text]],MIN(FIND("F",Tasks[[#This Row],[_Pred3Text]]&amp;"F"),FIND("S",Tasks[[#This Row],[_Pred3Text]]&amp;"S"),FIND("+",Tasks[[#This Row],[_Pred3Text]]&amp;"+"),FIND("-",Tasks[[#This Row],[_Pred3Text]]&amp;"-"))-1)),""))</f>
        <v/>
      </c>
      <c r="CX1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4" s="42" t="str">
        <f aca="false">IF(Tasks[[#This Row],[_Pred3Text]]="","",TRIM(MID(SUBSTITUTE(SUBSTITUTE(SUBSTITUTE(UPPER(Tasks[[#This Row],[_Predecessors]]),";",",")," ",""),",",REPT(" ",99)),298,99)))</f>
        <v/>
      </c>
      <c r="DA194" s="42" t="str">
        <f aca="false">IF(Tasks[[#This Row],[_Pred4Text]]="","",IFERROR(VALUE(LEFT(Tasks[[#This Row],[_Pred4Text]],MIN(FIND("F",Tasks[[#This Row],[_Pred4Text]]&amp;"F"),FIND("S",Tasks[[#This Row],[_Pred4Text]]&amp;"S"),FIND("+",Tasks[[#This Row],[_Pred4Text]]&amp;"+"),FIND("-",Tasks[[#This Row],[_Pred4Text]]&amp;"-"))-1)),""))</f>
        <v/>
      </c>
      <c r="DB1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4" s="42" t="str">
        <f aca="false">IF(OR(Tasks[[#This Row],[Task Name]]="",Tasks[[#This Row],[_Resources]]=""),"",TRIM(MID(SUBSTITUTE(Tasks[[#This Row],[_Resources]],",",REPT(" ",99)),1,99)))</f>
        <v/>
      </c>
      <c r="DE194" s="42" t="str">
        <f aca="false">IF(Tasks[[#This Row],[_Res1Text]]="","",TRIM(MID(SUBSTITUTE(Tasks[[#This Row],[_Resources]],",",REPT(" ",99)),100,99)))</f>
        <v/>
      </c>
      <c r="DF194" s="42" t="str">
        <f aca="false">IF(Tasks[[#This Row],[_Res2Text]]="","",TRIM(MID(SUBSTITUTE(Tasks[[#This Row],[_Resources]],",",REPT(" ",99)),199,99)))</f>
        <v/>
      </c>
      <c r="DG194" s="42" t="str">
        <f aca="false">IF(Tasks[[#This Row],[_Res3Text]]="","",TRIM(MID(SUBSTITUTE(Tasks[[#This Row],[_Resources]],",",REPT(" ",99)),298,99)))</f>
        <v/>
      </c>
      <c r="DH194" s="42" t="n">
        <f aca="false">IF(Tasks[[#This Row],[_Res1Text]]="",0,IFERROR(MATCH(TRIM(LEFT(Tasks[[#This Row],[_Res1Text]],FIND("[",Tasks[[#This Row],[_Res1Text]]&amp;"[")-1)),res_Name,0),IFERROR(MATCH(TRIM(LEFT(Tasks[[#This Row],[_Res1Text]],FIND("[",Tasks[[#This Row],[_Res1Text]]&amp;"[")-1)),res_Initials,0),0)))</f>
        <v>0</v>
      </c>
      <c r="DI194" s="42" t="n">
        <f aca="false">IF(Tasks[[#This Row],[_Res2Text]]="",0,IFERROR(MATCH(TRIM(LEFT(Tasks[[#This Row],[_Res2Text]],FIND("[",Tasks[[#This Row],[_Res2Text]]&amp;"[")-1)),res_Name,0),IFERROR(MATCH(TRIM(LEFT(Tasks[[#This Row],[_Res2Text]],FIND("[",Tasks[[#This Row],[_Res2Text]]&amp;"[")-1)),res_Initials,0),0)))</f>
        <v>0</v>
      </c>
      <c r="DJ194" s="42" t="n">
        <f aca="false">IF(Tasks[[#This Row],[_Res3Text]]="",0,IFERROR(MATCH(TRIM(LEFT(Tasks[[#This Row],[_Res3Text]],FIND("[",Tasks[[#This Row],[_Res3Text]]&amp;"[")-1)),res_Name,0),IFERROR(MATCH(TRIM(LEFT(Tasks[[#This Row],[_Res3Text]],FIND("[",Tasks[[#This Row],[_Res3Text]]&amp;"[")-1)),res_Initials,0),0)))</f>
        <v>0</v>
      </c>
      <c r="DK194" s="42" t="n">
        <f aca="false">IF(Tasks[[#This Row],[_Res4Text]]="",0,IFERROR(MATCH(TRIM(LEFT(Tasks[[#This Row],[_Res4Text]],FIND("[",Tasks[[#This Row],[_Res4Text]]&amp;"[")-1)),res_Name,0),IFERROR(MATCH(TRIM(LEFT(Tasks[[#This Row],[_Res4Text]],FIND("[",Tasks[[#This Row],[_Res4Text]]&amp;"[")-1)),res_Initials,0),0)))</f>
        <v>0</v>
      </c>
      <c r="DL194" s="42" t="str">
        <f aca="false">IF(Tasks[[#This Row],[_Res1Text]]="","",IF(Tasks[[#This Row],[_Res1Row]]&gt;0,INDEX(res_Name,Tasks[[#This Row],[_Res1Row]]),TRIM(LEFT(Tasks[[#This Row],[_Res1Text]],FIND("[",Tasks[[#This Row],[_Res1Text]]&amp;"[")-1))))</f>
        <v/>
      </c>
      <c r="DM1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4" s="42" t="n">
        <f aca="false">IF(NOT(Tasks[[#This Row],[_IsLeaf]]=1),0,(Tasks[[#This Row],[_Resource1]]&lt;&gt;"")+(Tasks[[#This Row],[_Res2]]&lt;&gt;"")+(Tasks[[#This Row],[_Res3]]&lt;&gt;"")+(Tasks[[#This Row],[_Res4]]&lt;&gt;""))</f>
        <v>0</v>
      </c>
      <c r="DO194" s="42" t="str">
        <f aca="false">IF(Tasks[[#This Row],[_Res2Text]]="","",IF(Tasks[[#This Row],[_Res2Row]]&gt;0,INDEX(res_Name,Tasks[[#This Row],[_Res2Row]]),TRIM(LEFT(Tasks[[#This Row],[_Res2Text]],FIND("[",Tasks[[#This Row],[_Res2Text]]&amp;"[")-1))))</f>
        <v/>
      </c>
      <c r="DP1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4" s="42" t="n">
        <f aca="false">IF(OR(NOT(Tasks[[#This Row],[_IsLeaf]]=1),Tasks[[#This Row],[_Res2Row]]=0),0,N(Tasks[[#This Row],[_Days]])*HoursPerDay*IF(Tasks[[#This Row],[_Res2Units]]="",DefaultUnits,Tasks[[#This Row],[_Res2Units]]))</f>
        <v>0</v>
      </c>
      <c r="DR194" s="42" t="n">
        <f aca="false">IF(AND(AND(Tasks[[#This Row],[_IsLeaf]]=1,Tasks[[#This Row],[_LeafTotalWork]]&gt;0),Tasks[[#This Row],[_Res2Work]]&gt;0),Tasks[[#This Row],[_Res2Work]]/(Tasks[[#This Row],[_FinishWorkday]]-Tasks[[#This Row],[_StartWorkday]]+1),0)</f>
        <v>0</v>
      </c>
      <c r="DS194" s="42" t="n">
        <f aca="false">Tasks[[#This Row],[_Res2WorkPerWD]]*MAX(0,Tasks[[#This Row],[_StartWorkday]]-1)</f>
        <v>0</v>
      </c>
      <c r="DT194" s="42" t="n">
        <f aca="false">Tasks[[#This Row],[_Res2Work]]*Tasks[[#This Row],[_LeafProgress]]</f>
        <v>0</v>
      </c>
      <c r="DU194" s="42" t="str">
        <f aca="false">IF(Tasks[[#This Row],[_Res3Text]]="","",IF(Tasks[[#This Row],[_Res3Row]]&gt;0,INDEX(res_Name,Tasks[[#This Row],[_Res3Row]]),TRIM(LEFT(Tasks[[#This Row],[_Res3Text]],FIND("[",Tasks[[#This Row],[_Res3Text]]&amp;"[")-1))))</f>
        <v/>
      </c>
      <c r="DV1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4" s="42" t="n">
        <f aca="false">IF(OR(NOT(Tasks[[#This Row],[_IsLeaf]]=1),Tasks[[#This Row],[_Res3Row]]=0),0,N(Tasks[[#This Row],[_Days]])*HoursPerDay*IF(Tasks[[#This Row],[_Res3Units]]="",DefaultUnits,Tasks[[#This Row],[_Res3Units]]))</f>
        <v>0</v>
      </c>
      <c r="DX194" s="42" t="n">
        <f aca="false">IF(AND(AND(Tasks[[#This Row],[_IsLeaf]]=1,Tasks[[#This Row],[_LeafTotalWork]]&gt;0),Tasks[[#This Row],[_Res3Work]]&gt;0),Tasks[[#This Row],[_Res3Work]]/(Tasks[[#This Row],[_FinishWorkday]]-Tasks[[#This Row],[_StartWorkday]]+1),0)</f>
        <v>0</v>
      </c>
      <c r="DY194" s="42" t="n">
        <f aca="false">Tasks[[#This Row],[_Res3WorkPerWD]]*MAX(0,Tasks[[#This Row],[_StartWorkday]]-1)</f>
        <v>0</v>
      </c>
      <c r="DZ194" s="42" t="n">
        <f aca="false">Tasks[[#This Row],[_Res3Work]]*Tasks[[#This Row],[_LeafProgress]]</f>
        <v>0</v>
      </c>
      <c r="EA194" s="42" t="str">
        <f aca="false">IF(Tasks[[#This Row],[_Res4Text]]="","",IF(Tasks[[#This Row],[_Res4Row]]&gt;0,INDEX(res_Name,Tasks[[#This Row],[_Res4Row]]),TRIM(LEFT(Tasks[[#This Row],[_Res4Text]],FIND("[",Tasks[[#This Row],[_Res4Text]]&amp;"[")-1))))</f>
        <v/>
      </c>
      <c r="EB1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4" s="42" t="n">
        <f aca="false">IF(OR(NOT(Tasks[[#This Row],[_IsLeaf]]=1),Tasks[[#This Row],[_Res4Row]]=0),0,N(Tasks[[#This Row],[_Days]])*HoursPerDay*IF(Tasks[[#This Row],[_Res4Units]]="",DefaultUnits,Tasks[[#This Row],[_Res4Units]]))</f>
        <v>0</v>
      </c>
      <c r="ED194" s="42" t="n">
        <f aca="false">IF(AND(AND(Tasks[[#This Row],[_IsLeaf]]=1,Tasks[[#This Row],[_LeafTotalWork]]&gt;0),Tasks[[#This Row],[_Res4Work]]&gt;0),Tasks[[#This Row],[_Res4Work]]/(Tasks[[#This Row],[_FinishWorkday]]-Tasks[[#This Row],[_StartWorkday]]+1),0)</f>
        <v>0</v>
      </c>
      <c r="EE194" s="42" t="n">
        <f aca="false">Tasks[[#This Row],[_Res4WorkPerWD]]*MAX(0,Tasks[[#This Row],[_StartWorkday]]-1)</f>
        <v>0</v>
      </c>
      <c r="EF194" s="42" t="n">
        <f aca="false">Tasks[[#This Row],[_Res4Work]]*Tasks[[#This Row],[_LeafProgress]]</f>
        <v>0</v>
      </c>
      <c r="EG194" s="42" t="n">
        <f aca="false">IF(ISNUMBER(Tasks[[#This Row],[% Complete]]),Tasks[[#This Row],[% Complete]],IF(Tasks[[#This Row],[Stage]]="",0,IFERROR(INDEX(stg_Pct,MATCH(Tasks[[#This Row],[Stage]],stg_Name,0)),0)))</f>
        <v>0</v>
      </c>
      <c r="EH194" s="42" t="n">
        <f aca="false">IF(NOT(Tasks[[#This Row],[_IsLeaf]]=1),0,IF(N(Tasks[[#This Row],[Actual Finish]])&gt;0,1,MIN(1,Tasks[[#This Row],[_Pct]])))</f>
        <v>0</v>
      </c>
      <c r="EI194" s="42" t="n">
        <f aca="false">IF(OR(NOT(Tasks[[#This Row],[_IsLeaf]]=1),Tasks[[#This Row],[_Res1Row]]=0),0,N(Tasks[[#This Row],[_Days]])*HoursPerDay*IF(Tasks[[#This Row],[_Units1]]="",DefaultUnits,Tasks[[#This Row],[_Units1]]))</f>
        <v>0</v>
      </c>
      <c r="EJ194" s="42" t="n">
        <f aca="false">Tasks[[#This Row],[_LeafWork]]+Tasks[[#This Row],[_Res2Work]]+Tasks[[#This Row],[_Res3Work]]+Tasks[[#This Row],[_Res4Work]]</f>
        <v>0</v>
      </c>
      <c r="EK1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4" s="42" t="n">
        <f aca="false">IF(NOT(Tasks[[#This Row],[_IsLeaf]]=1),0,MAX(_xlfn.MAXIFS(Tasks[_Row],Tasks[_Pred1UID],Tasks[[#This Row],[UID]]),_xlfn.MAXIFS(Tasks[_Row],Tasks[_Pred2UID],Tasks[[#This Row],[UID]]),_xlfn.MAXIFS(Tasks[_Row],Tasks[_Pred3UID],Tasks[[#This Row],[UID]]),_xlfn.MAXIFS(Tasks[_Row],Tasks[_Pred4UID],Tasks[[#This Row],[UID]])))</f>
        <v>0</v>
      </c>
      <c r="ET1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4" s="89" t="str">
        <f aca="false">IF(NOT(Tasks[[#This Row],[_IsLeaf]]=1),"",IF(N(Tasks[[#This Row],[_Days]])&lt;=0,Tasks[[#This Row],[_LeafLateFinish]],WORKDAY.INTL(Tasks[[#This Row],[_LeafLateFinish]],-(Tasks[[#This Row],[_Days]]-1),WorkWeek,Holidays)))</f>
        <v/>
      </c>
      <c r="EW1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4" s="88" t="b">
        <f aca="false">AND(Tasks[[#This Row],[_IsLeaf]]=1,Tasks[[#This Row],[_LeafProgress]]&lt;1,N(Tasks[[#This Row],[_LeafTotalSlack]])&lt;=CriticalSlackDays)</f>
        <v>0</v>
      </c>
      <c r="EY194" s="42" t="n">
        <f aca="false">IF(AND(Tasks[[#This Row],[_IsLeaf]]=1,Tasks[[#This Row],[_ConstraintCode]]=1,Tasks[[#This Row],[Mode]]&lt;&gt;"Manual",N(Tasks[[#This Row],[Actual Start]])=0),MAX(0,N(Tasks[[#This Row],[Free Slack]])),0)</f>
        <v>0</v>
      </c>
      <c r="EZ194" s="89" t="str">
        <f aca="false">IF(NOT(Tasks[[#This Row],[_IsLeaf]]=1),"",IF(Tasks[[#This Row],[_AlapShift]]=0,Tasks[[#This Row],[_LeafCalcStart]],WORKDAY.INTL(Tasks[[#This Row],[_LeafCalcStart]],Tasks[[#This Row],[_AlapShift]],WorkWeek,Holidays)))</f>
        <v/>
      </c>
      <c r="FA194" s="89" t="str">
        <f aca="false">IF(NOT(Tasks[[#This Row],[_IsLeaf]]=1),"",IF(Tasks[[#This Row],[_AlapShift]]=0,Tasks[[#This Row],[_LeafCalcFinish]],WORKDAY.INTL(Tasks[[#This Row],[_LeafCalcFinish]],Tasks[[#This Row],[_AlapShift]],WorkWeek,Holidays)))</f>
        <v/>
      </c>
      <c r="FB194" s="89" t="str">
        <f aca="false">IF(NOT(Tasks[[#This Row],[_IsLeaf]]=1),"",IF(Tasks[[#This Row],[_AlapShift]]=0,Tasks[[#This Row],[_LeafFcstStart]],WORKDAY.INTL(Tasks[[#This Row],[_LeafFcstStart]],Tasks[[#This Row],[_AlapShift]],WorkWeek,Holidays)))</f>
        <v/>
      </c>
      <c r="FC194" s="89" t="str">
        <f aca="false">IF(NOT(Tasks[[#This Row],[_IsLeaf]]=1),"",IF(Tasks[[#This Row],[_AlapShift]]=0,Tasks[[#This Row],[_LeafFcstFinish]],WORKDAY.INTL(Tasks[[#This Row],[_LeafFcstFinish]],Tasks[[#This Row],[_AlapShift]],WorkWeek,Holidays)))</f>
        <v/>
      </c>
      <c r="FD194" s="89" t="str">
        <f aca="false">IF(Tasks[[#This Row],[Task Name]]="","",IF(Tasks[[#This Row],[_IsSummary]],MIN(INDEX(Tasks[_ShownCalcStart],Tasks[[#This Row],[_Row]]+1):INDEX(Tasks[_ShownCalcStart],Tasks[[#This Row],[_Row]]+Tasks[[#This Row],[_Descendants]])),Tasks[[#This Row],[_ShownCalcStart]]))</f>
        <v/>
      </c>
      <c r="FE194" s="89" t="str">
        <f aca="false">IF(Tasks[[#This Row],[Task Name]]="","",IF(Tasks[[#This Row],[_IsSummary]],MAX(INDEX(Tasks[_ShownCalcFinish],Tasks[[#This Row],[_Row]]+1):INDEX(Tasks[_ShownCalcFinish],Tasks[[#This Row],[_Row]]+Tasks[[#This Row],[_Descendants]])),Tasks[[#This Row],[_ShownCalcFinish]]))</f>
        <v/>
      </c>
      <c r="FF1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4" s="42" t="n">
        <f aca="false">IF(AND(Tasks[[#This Row],[_IsLeaf]]=1,Tasks[[#This Row],[_LeafTotalWork]]&gt;0),NETWORKDAYS.INTL(ProjectStart,Tasks[[#This Row],[_ShownFcstStart]],WorkWeek,Holidays),0)</f>
        <v>0</v>
      </c>
      <c r="FS194" s="42" t="n">
        <f aca="false">IF(AND(Tasks[[#This Row],[_IsLeaf]]=1,Tasks[[#This Row],[_LeafTotalWork]]&gt;0),MAX(Tasks[[#This Row],[_StartWorkday]],NETWORKDAYS.INTL(ProjectStart,Tasks[[#This Row],[_ShownFcstFinish]],WorkWeek,Holidays)),0)</f>
        <v>0</v>
      </c>
      <c r="FT194" s="42" t="n">
        <f aca="false">IF(AND(Tasks[[#This Row],[_IsLeaf]]=1,Tasks[[#This Row],[_LeafTotalWork]]&gt;0),Tasks[[#This Row],[_LeafWork]]/(Tasks[[#This Row],[_FinishWorkday]]-Tasks[[#This Row],[_StartWorkday]]+1),0)</f>
        <v>0</v>
      </c>
      <c r="FU194" s="42" t="n">
        <f aca="false">Tasks[[#This Row],[_WorkPerWorkday]]*(Tasks[[#This Row],[_StartWorkday]]-1)</f>
        <v>-0</v>
      </c>
      <c r="FV194" s="42" t="n">
        <f aca="false">IF(Tasks[[#This Row],[_IsLeaf]]=1,MAX(N(Tasks[[#This Row],[_Days]]),0.1),0)</f>
        <v>0</v>
      </c>
      <c r="FW194" s="42" t="n">
        <f aca="false">Tasks[[#This Row],[_WeightDur]]*Tasks[[#This Row],[_LeafProgress]]</f>
        <v>0</v>
      </c>
      <c r="FX194" s="42" t="n">
        <f aca="false">Tasks[[#This Row],[_WeightDur]]*Tasks[[#This Row],[_PlannedPct]]</f>
        <v>0</v>
      </c>
      <c r="FY1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4" s="42" t="str">
        <f aca="false">IF(AND(Tasks[[#This Row],[_IsLeaf]]=1,N(Tasks[[#This Row],[_Days]])=0,Tasks[[#This Row],[_LeafProgress]]&lt;1),Tasks[[#This Row],[_ShownFcstFinish]]+Tasks[[#This Row],[_Row]]/100000,"")</f>
        <v/>
      </c>
      <c r="GA1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4" s="42" t="str">
        <f aca="false">IF(Tasks[[#This Row],[Task Name]]="","",LEFT(Tasks[[#This Row],[WBS]],FIND(".",Tasks[[#This Row],[WBS]]&amp;".")-1))</f>
        <v/>
      </c>
      <c r="GC194" s="42" t="str">
        <f aca="false">IF(AND(Tasks[[#This Row],[Task Name]]&lt;&gt;"",Tasks[[#This Row],[_Level]]=1),Tasks[[#This Row],[_Row]],"")</f>
        <v/>
      </c>
      <c r="GD194" s="42" t="str">
        <f aca="false">IF(AND(Tasks[[#This Row],[_IsLeaf]]=1,N(Tasks[[#This Row],[_Days]])=0),Tasks[[#This Row],[Planned Finish]]+Tasks[[#This Row],[_Row]]/100000,"")</f>
        <v/>
      </c>
      <c r="GE194" s="42" t="str">
        <f aca="false">IF(AND(Tasks[[#This Row],[_IsLeaf]]=1,Tasks[[#This Row],[_LeafProgress]]&lt;1,OR(N(Tasks[[#This Row],[Finish Var]])&gt;0,Tasks[[#This Row],[Status]]="Late Start")),MAX(0,Tasks[[#This Row],[Finish Var]])+1-Tasks[[#This Row],[_Row]]/1000000,"")</f>
        <v/>
      </c>
      <c r="GF194" s="42" t="str">
        <f aca="false">IF(AND(Tasks[[#This Row],[_IsLeaf]]=1,N(Tasks[[#This Row],[Actual Start]])=0,Tasks[[#This Row],[_ShownFcstStart]]&gt;=StatusDate,Tasks[[#This Row],[_ShownFcstStart]]&lt;=LookaheadEnd),Tasks[[#This Row],[_ShownFcstStart]]+Tasks[[#This Row],[_Row]]/100000,"")</f>
        <v/>
      </c>
      <c r="GG194" s="42" t="str">
        <f aca="false">IF(AND(Tasks[[#This Row],[_IsLeaf]]=1,Tasks[[#This Row],[_LeafProgress]]&lt;1,Tasks[[#This Row],[_ShownFcstFinish]]&gt;=StatusDate,Tasks[[#This Row],[_ShownFcstFinish]]&lt;=LookaheadEnd),Tasks[[#This Row],[_ShownFcstFinish]]+Tasks[[#This Row],[_Row]]/100000,"")</f>
        <v/>
      </c>
      <c r="GH194" s="42" t="str">
        <f aca="false">IF(Tasks[[#This Row],[_LeafCritical]],Tasks[[#This Row],[_ShownFcstStart]]+Tasks[[#This Row],[_Row]]/100000,"")</f>
        <v/>
      </c>
      <c r="GI194" s="42" t="n">
        <f aca="false">Tasks[[#This Row],[_LeafWork]]*Tasks[[#This Row],[_LeafProgress]]</f>
        <v>0</v>
      </c>
      <c r="GJ194" s="89" t="str">
        <f aca="false">IF(AND(Tasks[[#This Row],[_IsLeaf]]=1,Tasks[[#This Row],[_LeafProgress]]&gt;=1),IF(N(Tasks[[#This Row],[Actual Finish]])&gt;0,Tasks[[#This Row],[Actual Finish]],Tasks[[#This Row],[_ShownFcstFinish]]),"")</f>
        <v/>
      </c>
      <c r="GK194" s="42" t="n">
        <f aca="false">IF(Tasks[[#This Row],[_IsLeaf]]=1,N(Tasks[[#This Row],[Story Points]]),0)</f>
        <v>0</v>
      </c>
      <c r="GL194" s="42" t="str">
        <f aca="false">""</f>
        <v/>
      </c>
      <c r="GM194" s="88" t="b">
        <f aca="false">IF(Tasks[[#This Row],[Task Name]]="",FALSE(),AND(Tasks[[#This Row],[_IsLeaf]]=1,N(Tasks[[#This Row],[_Days]])=0))</f>
        <v>0</v>
      </c>
      <c r="GN194" s="89" t="n">
        <f aca="false">IF(Tasks[[#This Row],[Task Name]]="",0,IF(AND(Tasks[[#This Row],[_IsLeaf]]=1,NOT(Tasks[[#This Row],[_IsMilestone]]),N(Tasks[[#This Row],[Progress]])&gt;0),Tasks[[#This Row],[Start]],0))</f>
        <v>0</v>
      </c>
      <c r="GO194" s="89" t="n">
        <f aca="false">IF(Tasks[[#This Row],[_DoneFrom]]=0,0,IF(Tasks[[#This Row],[Progress]]&gt;=1,Tasks[[#This Row],[Finish]],MAX(Tasks[[#This Row],[_DoneFrom]],Tasks[[#This Row],[Start]]+ROUND((Tasks[[#This Row],[Finish]]-Tasks[[#This Row],[Start]]+1)*Tasks[[#This Row],[Progress]],0)-1)))</f>
        <v>0</v>
      </c>
      <c r="GP194" s="89" t="n">
        <f aca="false">IF(Tasks[[#This Row],[Task Name]]="",0,IF(OR(NOT(Tasks[[#This Row],[_IsLeaf]]=1),Tasks[[#This Row],[_IsMilestone]],N(Tasks[[#This Row],[Progress]])&gt;=1),0,IF(Tasks[[#This Row],[_DoneTo]]&gt;0,Tasks[[#This Row],[_DoneTo]]+1,Tasks[[#This Row],[Start]])))</f>
        <v>0</v>
      </c>
      <c r="GQ194" s="89" t="n">
        <f aca="false">IF(Tasks[[#This Row],[_RemFrom]]=0,0,Tasks[[#This Row],[Finish]])</f>
        <v>0</v>
      </c>
      <c r="GR194" s="88" t="b">
        <f aca="false">IF(Tasks[[#This Row],[Task Name]]="",FALSE(),OR(NOT(BaselineSet),N(Tasks[[#This Row],[Baseline Start]])&gt;0))</f>
        <v>0</v>
      </c>
      <c r="GS1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4" s="90" t="str">
        <f aca="false">IF(Tasks[[#This Row],[_IsLeaf]]=1,Tasks[[#This Row],[_Row]],"")</f>
        <v/>
      </c>
      <c r="GW194" s="90" t="str">
        <f aca="false">IFERROR(INDEX(Tasks[UID],SMALL(Tasks[_PickKey],Tasks[[#This Row],[_Row]]))&amp;" "&amp;INDEX(Tasks[Task Name],SMALL(Tasks[_PickKey],Tasks[[#This Row],[_Row]])),"")</f>
        <v/>
      </c>
      <c r="GX194" s="42" t="str">
        <f aca="false">IF(Tasks[[#This Row],[Task Name]]="","",IF(Tasks[[#This Row],[_IsSummary]],NETWORKDAYS.INTL(Tasks[[#This Row],[Start]],Tasks[[#This Row],[Finish]],WorkWeek,Holidays),N(Tasks[[#This Row],[_Days]])))</f>
        <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3"/>
      <c r="U195" s="23"/>
      <c r="V195" s="83"/>
      <c r="W195" s="23"/>
      <c r="X195" s="83"/>
      <c r="Y195" s="23"/>
      <c r="Z195" s="83"/>
      <c r="AA195" s="23"/>
      <c r="AB195" s="23"/>
      <c r="AC195" s="7"/>
      <c r="AD195" s="7"/>
      <c r="AE195" s="62" t="str">
        <f aca="false">IF(Tasks[[#This Row],[Task Name]]="","",IF(Tasks[[#This Row],[_IsSummary]],MIN(INDEX(Tasks[_ShownFcstStart],Tasks[[#This Row],[_Row]]+1):INDEX(Tasks[_ShownFcstStart],Tasks[[#This Row],[_Row]]+Tasks[[#This Row],[_Descendants]])),Tasks[[#This Row],[_ShownFcstStart]]))</f>
        <v/>
      </c>
      <c r="AF195" s="62"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5" s="7"/>
      <c r="AK195" s="22"/>
      <c r="AL195" s="23"/>
      <c r="AM195" s="7"/>
      <c r="AN195" s="46"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2" t="str">
        <f aca="false">IF(Tasks[[#This Row],[Task Name]]="","",IF(N(Tasks[[#This Row],[Baseline Start]])&gt;0,Tasks[[#This Row],[Baseline Start]],Tasks[[#This Row],[_CalcStart]]))</f>
        <v/>
      </c>
      <c r="AR195" s="62" t="str">
        <f aca="false">IF(Tasks[[#This Row],[Task Name]]="","",IF(N(Tasks[[#This Row],[Baseline Finish]])&gt;0,Tasks[[#This Row],[Baseline Finish]],Tasks[[#This Row],[_CalcFinish]]))</f>
        <v/>
      </c>
      <c r="AS195" s="46" t="str">
        <f aca="false">IF(Tasks[[#This Row],[Task Name]]="","",IF(Tasks[[#This Row],[Start]]&gt;=Tasks[[#This Row],[Planned Start]],NETWORKDAYS.INTL(Tasks[[#This Row],[Planned Start]],Tasks[[#This Row],[Start]],WorkWeek,Holidays)-1,1-NETWORKDAYS.INTL(Tasks[[#This Row],[Start]],Tasks[[#This Row],[Planned Start]],WorkWeek,Holidays)))</f>
        <v/>
      </c>
      <c r="AT195" s="62" t="str">
        <f aca="false">IF(Tasks[[#This Row],[Task Name]]="","",IF(Tasks[[#This Row],[_IsSummary]],MIN(INDEX(Tasks[_LeafLateStart],Tasks[[#This Row],[_Row]]+1):INDEX(Tasks[_LeafLateStart],Tasks[[#This Row],[_Row]]+Tasks[[#This Row],[_Descendants]])),Tasks[[#This Row],[_LeafLateStart]]))</f>
        <v/>
      </c>
      <c r="AU195" s="62" t="str">
        <f aca="false">IF(Tasks[[#This Row],[Task Name]]="","",IF(Tasks[[#This Row],[_IsSummary]],MAX(INDEX(Tasks[_LeafLateFinish],Tasks[[#This Row],[_Row]]+1):INDEX(Tasks[_LeafLateFinish],Tasks[[#This Row],[_Row]]+Tasks[[#This Row],[_Descendants]])),Tasks[[#This Row],[_LeafLateFinish]]))</f>
        <v/>
      </c>
      <c r="AV195" s="46"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4"/>
      <c r="BA1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5"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6"/>
      <c r="BJ195" s="22"/>
      <c r="BK195" s="46" t="str">
        <f aca="false">IF(OR(Tasks[[#This Row],[Task Name]]="",Tasks[[#This Row],[Baseline Duration]]=""),"",Tasks[[#This Row],[_SpanDays]]-N(Tasks[[#This Row],[Baseline Duration]]))</f>
        <v/>
      </c>
      <c r="BL195" s="85" t="str">
        <f aca="false">IF(OR(Tasks[[#This Row],[Task Name]]="",Tasks[[#This Row],[Baseline Work]]=""),"",Tasks[[#This Row],[Work]]-N(Tasks[[#This Row],[Baseline Work]]))</f>
        <v/>
      </c>
      <c r="BM195" s="62" t="str">
        <f aca="false">IF(Tasks[[#This Row],[Task Name]]="","",IF(OR(TakeBaseline="Yes",N(Tasks[[#This Row],[Baseline Start]])=0),Tasks[[#This Row],[Start]],Tasks[[#This Row],[Baseline Start]]))</f>
        <v/>
      </c>
      <c r="BN195" s="62"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5" t="str">
        <f aca="false">IF(Tasks[[#This Row],[Task Name]]="","",IF(OR(TakeBaseline="Yes",N(Tasks[[#This Row],[Baseline Work]])=0),Tasks[[#This Row],[Work]],Tasks[[#This Row],[Baseline Work]]))</f>
        <v/>
      </c>
      <c r="BQ195" s="7"/>
      <c r="BR195" s="7"/>
      <c r="BS195" s="22"/>
      <c r="BT195" s="87"/>
      <c r="BU195" s="42" t="str">
        <f aca="false">IF(Tasks[[#This Row],[Task Name]]="","",MAX(1,N(Tasks[[#This Row],[Level]])))</f>
        <v/>
      </c>
      <c r="BV195" s="42" t="n">
        <f aca="false">ROW()-ROW(Tasks[[#Headers],[ID]])</f>
        <v>190</v>
      </c>
      <c r="BW195" s="42" t="n">
        <f aca="false">IF(OR(Tasks[[#This Row],[Task Name]]="",Tasks[[#This Row],[_Level]]&lt;=1),0,IFERROR(LOOKUP(2,1/(Tasks[[#Headers],[_Level]]:Tasks[[#This Row],[_Level]]=Tasks[[#This Row],[_Level]]-1),ROW(Tasks[[#Headers],[_Level]]:Tasks[[#This Row],[_Level]])),0))</f>
        <v>0</v>
      </c>
      <c r="BX195" s="42" t="n">
        <f aca="false">IFERROR(N(INDEX(Tasks[_Level],Tasks[[#This Row],[_Row]]+1)),0)</f>
        <v>0</v>
      </c>
      <c r="BY195" s="88" t="b">
        <f aca="false">AND(Tasks[[#This Row],[Task Name]]&lt;&gt;"",Tasks[[#This Row],[_NextLevel]]&gt;Tasks[[#This Row],[_Level]])</f>
        <v>0</v>
      </c>
      <c r="BZ195" s="42" t="n">
        <f aca="false">IF(Tasks[[#This Row],[_IsSummary]],COUNTIF(Tasks[WBS],Tasks[[#This Row],[WBS]]&amp;".*"),0)</f>
        <v>0</v>
      </c>
      <c r="CA195" s="42" t="n">
        <f aca="false">IF(AND(Tasks[[#This Row],[Task Name]]&lt;&gt;"",NOT(Tasks[[#This Row],[_IsSummary]])),1,0)</f>
        <v>0</v>
      </c>
      <c r="CB195" s="42" t="n">
        <f aca="false">IF(N(Tasks[[#This Row],[_Pred1UID]])=0,0,IFERROR(MATCH(Tasks[[#This Row],[_Pred1UID]],Tasks[UID],0),-1))</f>
        <v>0</v>
      </c>
      <c r="CC195" s="42" t="n">
        <f aca="false">IF(N(Tasks[[#This Row],[_Pred2UID]])=0,0,IFERROR(MATCH(Tasks[[#This Row],[_Pred2UID]],Tasks[UID],0),-1))</f>
        <v>0</v>
      </c>
      <c r="CD195" s="42" t="n">
        <f aca="false">IF(N(Tasks[[#This Row],[_Pred3UID]])=0,0,IFERROR(MATCH(Tasks[[#This Row],[_Pred3UID]],Tasks[UID],0),-1))</f>
        <v>0</v>
      </c>
      <c r="CE195" s="42" t="n">
        <f aca="false">IF(N(Tasks[[#This Row],[_Pred4UID]])=0,0,IFERROR(MATCH(Tasks[[#This Row],[_Pred4UID]],Tasks[UID],0),-1))</f>
        <v>0</v>
      </c>
      <c r="CF1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5" s="89" t="n">
        <f aca="false">IF(OR(Tasks[[#This Row],[_ConstraintCode]]=2,Tasks[[#This Row],[_ConstraintCode]]=3,Tasks[[#This Row],[_ConstraintCode]]=4,Tasks[[#This Row],[_ConstraintCode]]=6),Tasks[[#This Row],[_ConstraintStart]],0)</f>
        <v>0</v>
      </c>
      <c r="CI195" s="89" t="n">
        <f aca="false">IF(OR(Tasks[[#This Row],[_ConstraintCode]]=2,Tasks[[#This Row],[_ConstraintCode]]=3,Tasks[[#This Row],[_ConstraintCode]]=5,Tasks[[#This Row],[_ConstraintCode]]=7),Tasks[[#This Row],[_ConstraintStart]],2958465)</f>
        <v>2958465</v>
      </c>
      <c r="CJ1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5" s="89" t="str">
        <f aca="false">IF(NOT(Tasks[[#This Row],[_IsLeaf]]=1),"",IF(N(Tasks[[#This Row],[_Days]])&lt;=0,Tasks[[#This Row],[_LeafCalcStart]],WORKDAY.INTL(Tasks[[#This Row],[_LeafCalcStart]],Tasks[[#This Row],[_Days]]-1,WorkWeek,Holidays)))</f>
        <v/>
      </c>
      <c r="CL1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5" s="42" t="str">
        <f aca="false">IF(Tasks[[#This Row],[_Predecessors]]="","",TRIM(MID(SUBSTITUTE(SUBSTITUTE(SUBSTITUTE(UPPER(Tasks[[#This Row],[_Predecessors]]),";",",")," ",""),",",REPT(" ",99)),1,99)))</f>
        <v/>
      </c>
      <c r="CO195" s="42" t="str">
        <f aca="false">IF(Tasks[[#This Row],[_Pred1Text]]="","",IFERROR(VALUE(LEFT(Tasks[[#This Row],[_Pred1Text]],MIN(FIND("F",Tasks[[#This Row],[_Pred1Text]]&amp;"F"),FIND("S",Tasks[[#This Row],[_Pred1Text]]&amp;"S"),FIND("+",Tasks[[#This Row],[_Pred1Text]]&amp;"+"),FIND("-",Tasks[[#This Row],[_Pred1Text]]&amp;"-"))-1)),""))</f>
        <v/>
      </c>
      <c r="CP1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5" s="42" t="str">
        <f aca="false">IF(Tasks[[#This Row],[_Pred1Text]]="","",TRIM(MID(SUBSTITUTE(SUBSTITUTE(SUBSTITUTE(UPPER(Tasks[[#This Row],[_Predecessors]]),";",",")," ",""),",",REPT(" ",99)),100,99)))</f>
        <v/>
      </c>
      <c r="CS195" s="42" t="str">
        <f aca="false">IF(Tasks[[#This Row],[_Pred2Text]]="","",IFERROR(VALUE(LEFT(Tasks[[#This Row],[_Pred2Text]],MIN(FIND("F",Tasks[[#This Row],[_Pred2Text]]&amp;"F"),FIND("S",Tasks[[#This Row],[_Pred2Text]]&amp;"S"),FIND("+",Tasks[[#This Row],[_Pred2Text]]&amp;"+"),FIND("-",Tasks[[#This Row],[_Pred2Text]]&amp;"-"))-1)),""))</f>
        <v/>
      </c>
      <c r="CT1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5" s="42" t="str">
        <f aca="false">IF(Tasks[[#This Row],[_Pred2Text]]="","",TRIM(MID(SUBSTITUTE(SUBSTITUTE(SUBSTITUTE(UPPER(Tasks[[#This Row],[_Predecessors]]),";",",")," ",""),",",REPT(" ",99)),199,99)))</f>
        <v/>
      </c>
      <c r="CW195" s="42" t="str">
        <f aca="false">IF(Tasks[[#This Row],[_Pred3Text]]="","",IFERROR(VALUE(LEFT(Tasks[[#This Row],[_Pred3Text]],MIN(FIND("F",Tasks[[#This Row],[_Pred3Text]]&amp;"F"),FIND("S",Tasks[[#This Row],[_Pred3Text]]&amp;"S"),FIND("+",Tasks[[#This Row],[_Pred3Text]]&amp;"+"),FIND("-",Tasks[[#This Row],[_Pred3Text]]&amp;"-"))-1)),""))</f>
        <v/>
      </c>
      <c r="CX1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5" s="42" t="str">
        <f aca="false">IF(Tasks[[#This Row],[_Pred3Text]]="","",TRIM(MID(SUBSTITUTE(SUBSTITUTE(SUBSTITUTE(UPPER(Tasks[[#This Row],[_Predecessors]]),";",",")," ",""),",",REPT(" ",99)),298,99)))</f>
        <v/>
      </c>
      <c r="DA195" s="42" t="str">
        <f aca="false">IF(Tasks[[#This Row],[_Pred4Text]]="","",IFERROR(VALUE(LEFT(Tasks[[#This Row],[_Pred4Text]],MIN(FIND("F",Tasks[[#This Row],[_Pred4Text]]&amp;"F"),FIND("S",Tasks[[#This Row],[_Pred4Text]]&amp;"S"),FIND("+",Tasks[[#This Row],[_Pred4Text]]&amp;"+"),FIND("-",Tasks[[#This Row],[_Pred4Text]]&amp;"-"))-1)),""))</f>
        <v/>
      </c>
      <c r="DB1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5" s="42" t="str">
        <f aca="false">IF(OR(Tasks[[#This Row],[Task Name]]="",Tasks[[#This Row],[_Resources]]=""),"",TRIM(MID(SUBSTITUTE(Tasks[[#This Row],[_Resources]],",",REPT(" ",99)),1,99)))</f>
        <v/>
      </c>
      <c r="DE195" s="42" t="str">
        <f aca="false">IF(Tasks[[#This Row],[_Res1Text]]="","",TRIM(MID(SUBSTITUTE(Tasks[[#This Row],[_Resources]],",",REPT(" ",99)),100,99)))</f>
        <v/>
      </c>
      <c r="DF195" s="42" t="str">
        <f aca="false">IF(Tasks[[#This Row],[_Res2Text]]="","",TRIM(MID(SUBSTITUTE(Tasks[[#This Row],[_Resources]],",",REPT(" ",99)),199,99)))</f>
        <v/>
      </c>
      <c r="DG195" s="42" t="str">
        <f aca="false">IF(Tasks[[#This Row],[_Res3Text]]="","",TRIM(MID(SUBSTITUTE(Tasks[[#This Row],[_Resources]],",",REPT(" ",99)),298,99)))</f>
        <v/>
      </c>
      <c r="DH195" s="42" t="n">
        <f aca="false">IF(Tasks[[#This Row],[_Res1Text]]="",0,IFERROR(MATCH(TRIM(LEFT(Tasks[[#This Row],[_Res1Text]],FIND("[",Tasks[[#This Row],[_Res1Text]]&amp;"[")-1)),res_Name,0),IFERROR(MATCH(TRIM(LEFT(Tasks[[#This Row],[_Res1Text]],FIND("[",Tasks[[#This Row],[_Res1Text]]&amp;"[")-1)),res_Initials,0),0)))</f>
        <v>0</v>
      </c>
      <c r="DI195" s="42" t="n">
        <f aca="false">IF(Tasks[[#This Row],[_Res2Text]]="",0,IFERROR(MATCH(TRIM(LEFT(Tasks[[#This Row],[_Res2Text]],FIND("[",Tasks[[#This Row],[_Res2Text]]&amp;"[")-1)),res_Name,0),IFERROR(MATCH(TRIM(LEFT(Tasks[[#This Row],[_Res2Text]],FIND("[",Tasks[[#This Row],[_Res2Text]]&amp;"[")-1)),res_Initials,0),0)))</f>
        <v>0</v>
      </c>
      <c r="DJ195" s="42" t="n">
        <f aca="false">IF(Tasks[[#This Row],[_Res3Text]]="",0,IFERROR(MATCH(TRIM(LEFT(Tasks[[#This Row],[_Res3Text]],FIND("[",Tasks[[#This Row],[_Res3Text]]&amp;"[")-1)),res_Name,0),IFERROR(MATCH(TRIM(LEFT(Tasks[[#This Row],[_Res3Text]],FIND("[",Tasks[[#This Row],[_Res3Text]]&amp;"[")-1)),res_Initials,0),0)))</f>
        <v>0</v>
      </c>
      <c r="DK195" s="42" t="n">
        <f aca="false">IF(Tasks[[#This Row],[_Res4Text]]="",0,IFERROR(MATCH(TRIM(LEFT(Tasks[[#This Row],[_Res4Text]],FIND("[",Tasks[[#This Row],[_Res4Text]]&amp;"[")-1)),res_Name,0),IFERROR(MATCH(TRIM(LEFT(Tasks[[#This Row],[_Res4Text]],FIND("[",Tasks[[#This Row],[_Res4Text]]&amp;"[")-1)),res_Initials,0),0)))</f>
        <v>0</v>
      </c>
      <c r="DL195" s="42" t="str">
        <f aca="false">IF(Tasks[[#This Row],[_Res1Text]]="","",IF(Tasks[[#This Row],[_Res1Row]]&gt;0,INDEX(res_Name,Tasks[[#This Row],[_Res1Row]]),TRIM(LEFT(Tasks[[#This Row],[_Res1Text]],FIND("[",Tasks[[#This Row],[_Res1Text]]&amp;"[")-1))))</f>
        <v/>
      </c>
      <c r="DM1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5" s="42" t="n">
        <f aca="false">IF(NOT(Tasks[[#This Row],[_IsLeaf]]=1),0,(Tasks[[#This Row],[_Resource1]]&lt;&gt;"")+(Tasks[[#This Row],[_Res2]]&lt;&gt;"")+(Tasks[[#This Row],[_Res3]]&lt;&gt;"")+(Tasks[[#This Row],[_Res4]]&lt;&gt;""))</f>
        <v>0</v>
      </c>
      <c r="DO195" s="42" t="str">
        <f aca="false">IF(Tasks[[#This Row],[_Res2Text]]="","",IF(Tasks[[#This Row],[_Res2Row]]&gt;0,INDEX(res_Name,Tasks[[#This Row],[_Res2Row]]),TRIM(LEFT(Tasks[[#This Row],[_Res2Text]],FIND("[",Tasks[[#This Row],[_Res2Text]]&amp;"[")-1))))</f>
        <v/>
      </c>
      <c r="DP1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5" s="42" t="n">
        <f aca="false">IF(OR(NOT(Tasks[[#This Row],[_IsLeaf]]=1),Tasks[[#This Row],[_Res2Row]]=0),0,N(Tasks[[#This Row],[_Days]])*HoursPerDay*IF(Tasks[[#This Row],[_Res2Units]]="",DefaultUnits,Tasks[[#This Row],[_Res2Units]]))</f>
        <v>0</v>
      </c>
      <c r="DR195" s="42" t="n">
        <f aca="false">IF(AND(AND(Tasks[[#This Row],[_IsLeaf]]=1,Tasks[[#This Row],[_LeafTotalWork]]&gt;0),Tasks[[#This Row],[_Res2Work]]&gt;0),Tasks[[#This Row],[_Res2Work]]/(Tasks[[#This Row],[_FinishWorkday]]-Tasks[[#This Row],[_StartWorkday]]+1),0)</f>
        <v>0</v>
      </c>
      <c r="DS195" s="42" t="n">
        <f aca="false">Tasks[[#This Row],[_Res2WorkPerWD]]*MAX(0,Tasks[[#This Row],[_StartWorkday]]-1)</f>
        <v>0</v>
      </c>
      <c r="DT195" s="42" t="n">
        <f aca="false">Tasks[[#This Row],[_Res2Work]]*Tasks[[#This Row],[_LeafProgress]]</f>
        <v>0</v>
      </c>
      <c r="DU195" s="42" t="str">
        <f aca="false">IF(Tasks[[#This Row],[_Res3Text]]="","",IF(Tasks[[#This Row],[_Res3Row]]&gt;0,INDEX(res_Name,Tasks[[#This Row],[_Res3Row]]),TRIM(LEFT(Tasks[[#This Row],[_Res3Text]],FIND("[",Tasks[[#This Row],[_Res3Text]]&amp;"[")-1))))</f>
        <v/>
      </c>
      <c r="DV1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5" s="42" t="n">
        <f aca="false">IF(OR(NOT(Tasks[[#This Row],[_IsLeaf]]=1),Tasks[[#This Row],[_Res3Row]]=0),0,N(Tasks[[#This Row],[_Days]])*HoursPerDay*IF(Tasks[[#This Row],[_Res3Units]]="",DefaultUnits,Tasks[[#This Row],[_Res3Units]]))</f>
        <v>0</v>
      </c>
      <c r="DX195" s="42" t="n">
        <f aca="false">IF(AND(AND(Tasks[[#This Row],[_IsLeaf]]=1,Tasks[[#This Row],[_LeafTotalWork]]&gt;0),Tasks[[#This Row],[_Res3Work]]&gt;0),Tasks[[#This Row],[_Res3Work]]/(Tasks[[#This Row],[_FinishWorkday]]-Tasks[[#This Row],[_StartWorkday]]+1),0)</f>
        <v>0</v>
      </c>
      <c r="DY195" s="42" t="n">
        <f aca="false">Tasks[[#This Row],[_Res3WorkPerWD]]*MAX(0,Tasks[[#This Row],[_StartWorkday]]-1)</f>
        <v>0</v>
      </c>
      <c r="DZ195" s="42" t="n">
        <f aca="false">Tasks[[#This Row],[_Res3Work]]*Tasks[[#This Row],[_LeafProgress]]</f>
        <v>0</v>
      </c>
      <c r="EA195" s="42" t="str">
        <f aca="false">IF(Tasks[[#This Row],[_Res4Text]]="","",IF(Tasks[[#This Row],[_Res4Row]]&gt;0,INDEX(res_Name,Tasks[[#This Row],[_Res4Row]]),TRIM(LEFT(Tasks[[#This Row],[_Res4Text]],FIND("[",Tasks[[#This Row],[_Res4Text]]&amp;"[")-1))))</f>
        <v/>
      </c>
      <c r="EB1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5" s="42" t="n">
        <f aca="false">IF(OR(NOT(Tasks[[#This Row],[_IsLeaf]]=1),Tasks[[#This Row],[_Res4Row]]=0),0,N(Tasks[[#This Row],[_Days]])*HoursPerDay*IF(Tasks[[#This Row],[_Res4Units]]="",DefaultUnits,Tasks[[#This Row],[_Res4Units]]))</f>
        <v>0</v>
      </c>
      <c r="ED195" s="42" t="n">
        <f aca="false">IF(AND(AND(Tasks[[#This Row],[_IsLeaf]]=1,Tasks[[#This Row],[_LeafTotalWork]]&gt;0),Tasks[[#This Row],[_Res4Work]]&gt;0),Tasks[[#This Row],[_Res4Work]]/(Tasks[[#This Row],[_FinishWorkday]]-Tasks[[#This Row],[_StartWorkday]]+1),0)</f>
        <v>0</v>
      </c>
      <c r="EE195" s="42" t="n">
        <f aca="false">Tasks[[#This Row],[_Res4WorkPerWD]]*MAX(0,Tasks[[#This Row],[_StartWorkday]]-1)</f>
        <v>0</v>
      </c>
      <c r="EF195" s="42" t="n">
        <f aca="false">Tasks[[#This Row],[_Res4Work]]*Tasks[[#This Row],[_LeafProgress]]</f>
        <v>0</v>
      </c>
      <c r="EG195" s="42" t="n">
        <f aca="false">IF(ISNUMBER(Tasks[[#This Row],[% Complete]]),Tasks[[#This Row],[% Complete]],IF(Tasks[[#This Row],[Stage]]="",0,IFERROR(INDEX(stg_Pct,MATCH(Tasks[[#This Row],[Stage]],stg_Name,0)),0)))</f>
        <v>0</v>
      </c>
      <c r="EH195" s="42" t="n">
        <f aca="false">IF(NOT(Tasks[[#This Row],[_IsLeaf]]=1),0,IF(N(Tasks[[#This Row],[Actual Finish]])&gt;0,1,MIN(1,Tasks[[#This Row],[_Pct]])))</f>
        <v>0</v>
      </c>
      <c r="EI195" s="42" t="n">
        <f aca="false">IF(OR(NOT(Tasks[[#This Row],[_IsLeaf]]=1),Tasks[[#This Row],[_Res1Row]]=0),0,N(Tasks[[#This Row],[_Days]])*HoursPerDay*IF(Tasks[[#This Row],[_Units1]]="",DefaultUnits,Tasks[[#This Row],[_Units1]]))</f>
        <v>0</v>
      </c>
      <c r="EJ195" s="42" t="n">
        <f aca="false">Tasks[[#This Row],[_LeafWork]]+Tasks[[#This Row],[_Res2Work]]+Tasks[[#This Row],[_Res3Work]]+Tasks[[#This Row],[_Res4Work]]</f>
        <v>0</v>
      </c>
      <c r="EK1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5" s="42" t="n">
        <f aca="false">IF(NOT(Tasks[[#This Row],[_IsLeaf]]=1),0,MAX(_xlfn.MAXIFS(Tasks[_Row],Tasks[_Pred1UID],Tasks[[#This Row],[UID]]),_xlfn.MAXIFS(Tasks[_Row],Tasks[_Pred2UID],Tasks[[#This Row],[UID]]),_xlfn.MAXIFS(Tasks[_Row],Tasks[_Pred3UID],Tasks[[#This Row],[UID]]),_xlfn.MAXIFS(Tasks[_Row],Tasks[_Pred4UID],Tasks[[#This Row],[UID]])))</f>
        <v>0</v>
      </c>
      <c r="ET1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5" s="89" t="str">
        <f aca="false">IF(NOT(Tasks[[#This Row],[_IsLeaf]]=1),"",IF(N(Tasks[[#This Row],[_Days]])&lt;=0,Tasks[[#This Row],[_LeafLateFinish]],WORKDAY.INTL(Tasks[[#This Row],[_LeafLateFinish]],-(Tasks[[#This Row],[_Days]]-1),WorkWeek,Holidays)))</f>
        <v/>
      </c>
      <c r="EW1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5" s="88" t="b">
        <f aca="false">AND(Tasks[[#This Row],[_IsLeaf]]=1,Tasks[[#This Row],[_LeafProgress]]&lt;1,N(Tasks[[#This Row],[_LeafTotalSlack]])&lt;=CriticalSlackDays)</f>
        <v>0</v>
      </c>
      <c r="EY195" s="42" t="n">
        <f aca="false">IF(AND(Tasks[[#This Row],[_IsLeaf]]=1,Tasks[[#This Row],[_ConstraintCode]]=1,Tasks[[#This Row],[Mode]]&lt;&gt;"Manual",N(Tasks[[#This Row],[Actual Start]])=0),MAX(0,N(Tasks[[#This Row],[Free Slack]])),0)</f>
        <v>0</v>
      </c>
      <c r="EZ195" s="89" t="str">
        <f aca="false">IF(NOT(Tasks[[#This Row],[_IsLeaf]]=1),"",IF(Tasks[[#This Row],[_AlapShift]]=0,Tasks[[#This Row],[_LeafCalcStart]],WORKDAY.INTL(Tasks[[#This Row],[_LeafCalcStart]],Tasks[[#This Row],[_AlapShift]],WorkWeek,Holidays)))</f>
        <v/>
      </c>
      <c r="FA195" s="89" t="str">
        <f aca="false">IF(NOT(Tasks[[#This Row],[_IsLeaf]]=1),"",IF(Tasks[[#This Row],[_AlapShift]]=0,Tasks[[#This Row],[_LeafCalcFinish]],WORKDAY.INTL(Tasks[[#This Row],[_LeafCalcFinish]],Tasks[[#This Row],[_AlapShift]],WorkWeek,Holidays)))</f>
        <v/>
      </c>
      <c r="FB195" s="89" t="str">
        <f aca="false">IF(NOT(Tasks[[#This Row],[_IsLeaf]]=1),"",IF(Tasks[[#This Row],[_AlapShift]]=0,Tasks[[#This Row],[_LeafFcstStart]],WORKDAY.INTL(Tasks[[#This Row],[_LeafFcstStart]],Tasks[[#This Row],[_AlapShift]],WorkWeek,Holidays)))</f>
        <v/>
      </c>
      <c r="FC195" s="89" t="str">
        <f aca="false">IF(NOT(Tasks[[#This Row],[_IsLeaf]]=1),"",IF(Tasks[[#This Row],[_AlapShift]]=0,Tasks[[#This Row],[_LeafFcstFinish]],WORKDAY.INTL(Tasks[[#This Row],[_LeafFcstFinish]],Tasks[[#This Row],[_AlapShift]],WorkWeek,Holidays)))</f>
        <v/>
      </c>
      <c r="FD195" s="89" t="str">
        <f aca="false">IF(Tasks[[#This Row],[Task Name]]="","",IF(Tasks[[#This Row],[_IsSummary]],MIN(INDEX(Tasks[_ShownCalcStart],Tasks[[#This Row],[_Row]]+1):INDEX(Tasks[_ShownCalcStart],Tasks[[#This Row],[_Row]]+Tasks[[#This Row],[_Descendants]])),Tasks[[#This Row],[_ShownCalcStart]]))</f>
        <v/>
      </c>
      <c r="FE195" s="89" t="str">
        <f aca="false">IF(Tasks[[#This Row],[Task Name]]="","",IF(Tasks[[#This Row],[_IsSummary]],MAX(INDEX(Tasks[_ShownCalcFinish],Tasks[[#This Row],[_Row]]+1):INDEX(Tasks[_ShownCalcFinish],Tasks[[#This Row],[_Row]]+Tasks[[#This Row],[_Descendants]])),Tasks[[#This Row],[_ShownCalcFinish]]))</f>
        <v/>
      </c>
      <c r="FF1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5" s="42" t="n">
        <f aca="false">IF(AND(Tasks[[#This Row],[_IsLeaf]]=1,Tasks[[#This Row],[_LeafTotalWork]]&gt;0),NETWORKDAYS.INTL(ProjectStart,Tasks[[#This Row],[_ShownFcstStart]],WorkWeek,Holidays),0)</f>
        <v>0</v>
      </c>
      <c r="FS195" s="42" t="n">
        <f aca="false">IF(AND(Tasks[[#This Row],[_IsLeaf]]=1,Tasks[[#This Row],[_LeafTotalWork]]&gt;0),MAX(Tasks[[#This Row],[_StartWorkday]],NETWORKDAYS.INTL(ProjectStart,Tasks[[#This Row],[_ShownFcstFinish]],WorkWeek,Holidays)),0)</f>
        <v>0</v>
      </c>
      <c r="FT195" s="42" t="n">
        <f aca="false">IF(AND(Tasks[[#This Row],[_IsLeaf]]=1,Tasks[[#This Row],[_LeafTotalWork]]&gt;0),Tasks[[#This Row],[_LeafWork]]/(Tasks[[#This Row],[_FinishWorkday]]-Tasks[[#This Row],[_StartWorkday]]+1),0)</f>
        <v>0</v>
      </c>
      <c r="FU195" s="42" t="n">
        <f aca="false">Tasks[[#This Row],[_WorkPerWorkday]]*(Tasks[[#This Row],[_StartWorkday]]-1)</f>
        <v>-0</v>
      </c>
      <c r="FV195" s="42" t="n">
        <f aca="false">IF(Tasks[[#This Row],[_IsLeaf]]=1,MAX(N(Tasks[[#This Row],[_Days]]),0.1),0)</f>
        <v>0</v>
      </c>
      <c r="FW195" s="42" t="n">
        <f aca="false">Tasks[[#This Row],[_WeightDur]]*Tasks[[#This Row],[_LeafProgress]]</f>
        <v>0</v>
      </c>
      <c r="FX195" s="42" t="n">
        <f aca="false">Tasks[[#This Row],[_WeightDur]]*Tasks[[#This Row],[_PlannedPct]]</f>
        <v>0</v>
      </c>
      <c r="FY1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5" s="42" t="str">
        <f aca="false">IF(AND(Tasks[[#This Row],[_IsLeaf]]=1,N(Tasks[[#This Row],[_Days]])=0,Tasks[[#This Row],[_LeafProgress]]&lt;1),Tasks[[#This Row],[_ShownFcstFinish]]+Tasks[[#This Row],[_Row]]/100000,"")</f>
        <v/>
      </c>
      <c r="GA1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5" s="42" t="str">
        <f aca="false">IF(Tasks[[#This Row],[Task Name]]="","",LEFT(Tasks[[#This Row],[WBS]],FIND(".",Tasks[[#This Row],[WBS]]&amp;".")-1))</f>
        <v/>
      </c>
      <c r="GC195" s="42" t="str">
        <f aca="false">IF(AND(Tasks[[#This Row],[Task Name]]&lt;&gt;"",Tasks[[#This Row],[_Level]]=1),Tasks[[#This Row],[_Row]],"")</f>
        <v/>
      </c>
      <c r="GD195" s="42" t="str">
        <f aca="false">IF(AND(Tasks[[#This Row],[_IsLeaf]]=1,N(Tasks[[#This Row],[_Days]])=0),Tasks[[#This Row],[Planned Finish]]+Tasks[[#This Row],[_Row]]/100000,"")</f>
        <v/>
      </c>
      <c r="GE195" s="42" t="str">
        <f aca="false">IF(AND(Tasks[[#This Row],[_IsLeaf]]=1,Tasks[[#This Row],[_LeafProgress]]&lt;1,OR(N(Tasks[[#This Row],[Finish Var]])&gt;0,Tasks[[#This Row],[Status]]="Late Start")),MAX(0,Tasks[[#This Row],[Finish Var]])+1-Tasks[[#This Row],[_Row]]/1000000,"")</f>
        <v/>
      </c>
      <c r="GF195" s="42" t="str">
        <f aca="false">IF(AND(Tasks[[#This Row],[_IsLeaf]]=1,N(Tasks[[#This Row],[Actual Start]])=0,Tasks[[#This Row],[_ShownFcstStart]]&gt;=StatusDate,Tasks[[#This Row],[_ShownFcstStart]]&lt;=LookaheadEnd),Tasks[[#This Row],[_ShownFcstStart]]+Tasks[[#This Row],[_Row]]/100000,"")</f>
        <v/>
      </c>
      <c r="GG195" s="42" t="str">
        <f aca="false">IF(AND(Tasks[[#This Row],[_IsLeaf]]=1,Tasks[[#This Row],[_LeafProgress]]&lt;1,Tasks[[#This Row],[_ShownFcstFinish]]&gt;=StatusDate,Tasks[[#This Row],[_ShownFcstFinish]]&lt;=LookaheadEnd),Tasks[[#This Row],[_ShownFcstFinish]]+Tasks[[#This Row],[_Row]]/100000,"")</f>
        <v/>
      </c>
      <c r="GH195" s="42" t="str">
        <f aca="false">IF(Tasks[[#This Row],[_LeafCritical]],Tasks[[#This Row],[_ShownFcstStart]]+Tasks[[#This Row],[_Row]]/100000,"")</f>
        <v/>
      </c>
      <c r="GI195" s="42" t="n">
        <f aca="false">Tasks[[#This Row],[_LeafWork]]*Tasks[[#This Row],[_LeafProgress]]</f>
        <v>0</v>
      </c>
      <c r="GJ195" s="89" t="str">
        <f aca="false">IF(AND(Tasks[[#This Row],[_IsLeaf]]=1,Tasks[[#This Row],[_LeafProgress]]&gt;=1),IF(N(Tasks[[#This Row],[Actual Finish]])&gt;0,Tasks[[#This Row],[Actual Finish]],Tasks[[#This Row],[_ShownFcstFinish]]),"")</f>
        <v/>
      </c>
      <c r="GK195" s="42" t="n">
        <f aca="false">IF(Tasks[[#This Row],[_IsLeaf]]=1,N(Tasks[[#This Row],[Story Points]]),0)</f>
        <v>0</v>
      </c>
      <c r="GL195" s="42" t="str">
        <f aca="false">""</f>
        <v/>
      </c>
      <c r="GM195" s="88" t="b">
        <f aca="false">IF(Tasks[[#This Row],[Task Name]]="",FALSE(),AND(Tasks[[#This Row],[_IsLeaf]]=1,N(Tasks[[#This Row],[_Days]])=0))</f>
        <v>0</v>
      </c>
      <c r="GN195" s="89" t="n">
        <f aca="false">IF(Tasks[[#This Row],[Task Name]]="",0,IF(AND(Tasks[[#This Row],[_IsLeaf]]=1,NOT(Tasks[[#This Row],[_IsMilestone]]),N(Tasks[[#This Row],[Progress]])&gt;0),Tasks[[#This Row],[Start]],0))</f>
        <v>0</v>
      </c>
      <c r="GO195" s="89" t="n">
        <f aca="false">IF(Tasks[[#This Row],[_DoneFrom]]=0,0,IF(Tasks[[#This Row],[Progress]]&gt;=1,Tasks[[#This Row],[Finish]],MAX(Tasks[[#This Row],[_DoneFrom]],Tasks[[#This Row],[Start]]+ROUND((Tasks[[#This Row],[Finish]]-Tasks[[#This Row],[Start]]+1)*Tasks[[#This Row],[Progress]],0)-1)))</f>
        <v>0</v>
      </c>
      <c r="GP195" s="89" t="n">
        <f aca="false">IF(Tasks[[#This Row],[Task Name]]="",0,IF(OR(NOT(Tasks[[#This Row],[_IsLeaf]]=1),Tasks[[#This Row],[_IsMilestone]],N(Tasks[[#This Row],[Progress]])&gt;=1),0,IF(Tasks[[#This Row],[_DoneTo]]&gt;0,Tasks[[#This Row],[_DoneTo]]+1,Tasks[[#This Row],[Start]])))</f>
        <v>0</v>
      </c>
      <c r="GQ195" s="89" t="n">
        <f aca="false">IF(Tasks[[#This Row],[_RemFrom]]=0,0,Tasks[[#This Row],[Finish]])</f>
        <v>0</v>
      </c>
      <c r="GR195" s="88" t="b">
        <f aca="false">IF(Tasks[[#This Row],[Task Name]]="",FALSE(),OR(NOT(BaselineSet),N(Tasks[[#This Row],[Baseline Start]])&gt;0))</f>
        <v>0</v>
      </c>
      <c r="GS1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5" s="90" t="str">
        <f aca="false">IF(Tasks[[#This Row],[_IsLeaf]]=1,Tasks[[#This Row],[_Row]],"")</f>
        <v/>
      </c>
      <c r="GW195" s="90" t="str">
        <f aca="false">IFERROR(INDEX(Tasks[UID],SMALL(Tasks[_PickKey],Tasks[[#This Row],[_Row]]))&amp;" "&amp;INDEX(Tasks[Task Name],SMALL(Tasks[_PickKey],Tasks[[#This Row],[_Row]])),"")</f>
        <v/>
      </c>
      <c r="GX195" s="42" t="str">
        <f aca="false">IF(Tasks[[#This Row],[Task Name]]="","",IF(Tasks[[#This Row],[_IsSummary]],NETWORKDAYS.INTL(Tasks[[#This Row],[Start]],Tasks[[#This Row],[Finish]],WorkWeek,Holidays),N(Tasks[[#This Row],[_Days]])))</f>
        <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3"/>
      <c r="U196" s="23"/>
      <c r="V196" s="83"/>
      <c r="W196" s="23"/>
      <c r="X196" s="83"/>
      <c r="Y196" s="23"/>
      <c r="Z196" s="83"/>
      <c r="AA196" s="23"/>
      <c r="AB196" s="23"/>
      <c r="AC196" s="7"/>
      <c r="AD196" s="7"/>
      <c r="AE196" s="62" t="str">
        <f aca="false">IF(Tasks[[#This Row],[Task Name]]="","",IF(Tasks[[#This Row],[_IsSummary]],MIN(INDEX(Tasks[_ShownFcstStart],Tasks[[#This Row],[_Row]]+1):INDEX(Tasks[_ShownFcstStart],Tasks[[#This Row],[_Row]]+Tasks[[#This Row],[_Descendants]])),Tasks[[#This Row],[_ShownFcstStart]]))</f>
        <v/>
      </c>
      <c r="AF196" s="62"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6" s="7"/>
      <c r="AK196" s="22"/>
      <c r="AL196" s="23"/>
      <c r="AM196" s="7"/>
      <c r="AN196" s="46"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2" t="str">
        <f aca="false">IF(Tasks[[#This Row],[Task Name]]="","",IF(N(Tasks[[#This Row],[Baseline Start]])&gt;0,Tasks[[#This Row],[Baseline Start]],Tasks[[#This Row],[_CalcStart]]))</f>
        <v/>
      </c>
      <c r="AR196" s="62" t="str">
        <f aca="false">IF(Tasks[[#This Row],[Task Name]]="","",IF(N(Tasks[[#This Row],[Baseline Finish]])&gt;0,Tasks[[#This Row],[Baseline Finish]],Tasks[[#This Row],[_CalcFinish]]))</f>
        <v/>
      </c>
      <c r="AS196" s="46" t="str">
        <f aca="false">IF(Tasks[[#This Row],[Task Name]]="","",IF(Tasks[[#This Row],[Start]]&gt;=Tasks[[#This Row],[Planned Start]],NETWORKDAYS.INTL(Tasks[[#This Row],[Planned Start]],Tasks[[#This Row],[Start]],WorkWeek,Holidays)-1,1-NETWORKDAYS.INTL(Tasks[[#This Row],[Start]],Tasks[[#This Row],[Planned Start]],WorkWeek,Holidays)))</f>
        <v/>
      </c>
      <c r="AT196" s="62" t="str">
        <f aca="false">IF(Tasks[[#This Row],[Task Name]]="","",IF(Tasks[[#This Row],[_IsSummary]],MIN(INDEX(Tasks[_LeafLateStart],Tasks[[#This Row],[_Row]]+1):INDEX(Tasks[_LeafLateStart],Tasks[[#This Row],[_Row]]+Tasks[[#This Row],[_Descendants]])),Tasks[[#This Row],[_LeafLateStart]]))</f>
        <v/>
      </c>
      <c r="AU196" s="62" t="str">
        <f aca="false">IF(Tasks[[#This Row],[Task Name]]="","",IF(Tasks[[#This Row],[_IsSummary]],MAX(INDEX(Tasks[_LeafLateFinish],Tasks[[#This Row],[_Row]]+1):INDEX(Tasks[_LeafLateFinish],Tasks[[#This Row],[_Row]]+Tasks[[#This Row],[_Descendants]])),Tasks[[#This Row],[_LeafLateFinish]]))</f>
        <v/>
      </c>
      <c r="AV196" s="46"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4"/>
      <c r="BA1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5"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6"/>
      <c r="BJ196" s="22"/>
      <c r="BK196" s="46" t="str">
        <f aca="false">IF(OR(Tasks[[#This Row],[Task Name]]="",Tasks[[#This Row],[Baseline Duration]]=""),"",Tasks[[#This Row],[_SpanDays]]-N(Tasks[[#This Row],[Baseline Duration]]))</f>
        <v/>
      </c>
      <c r="BL196" s="85" t="str">
        <f aca="false">IF(OR(Tasks[[#This Row],[Task Name]]="",Tasks[[#This Row],[Baseline Work]]=""),"",Tasks[[#This Row],[Work]]-N(Tasks[[#This Row],[Baseline Work]]))</f>
        <v/>
      </c>
      <c r="BM196" s="62" t="str">
        <f aca="false">IF(Tasks[[#This Row],[Task Name]]="","",IF(OR(TakeBaseline="Yes",N(Tasks[[#This Row],[Baseline Start]])=0),Tasks[[#This Row],[Start]],Tasks[[#This Row],[Baseline Start]]))</f>
        <v/>
      </c>
      <c r="BN196" s="62"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5" t="str">
        <f aca="false">IF(Tasks[[#This Row],[Task Name]]="","",IF(OR(TakeBaseline="Yes",N(Tasks[[#This Row],[Baseline Work]])=0),Tasks[[#This Row],[Work]],Tasks[[#This Row],[Baseline Work]]))</f>
        <v/>
      </c>
      <c r="BQ196" s="7"/>
      <c r="BR196" s="7"/>
      <c r="BS196" s="22"/>
      <c r="BT196" s="87"/>
      <c r="BU196" s="42" t="str">
        <f aca="false">IF(Tasks[[#This Row],[Task Name]]="","",MAX(1,N(Tasks[[#This Row],[Level]])))</f>
        <v/>
      </c>
      <c r="BV196" s="42" t="n">
        <f aca="false">ROW()-ROW(Tasks[[#Headers],[ID]])</f>
        <v>191</v>
      </c>
      <c r="BW196" s="42" t="n">
        <f aca="false">IF(OR(Tasks[[#This Row],[Task Name]]="",Tasks[[#This Row],[_Level]]&lt;=1),0,IFERROR(LOOKUP(2,1/(Tasks[[#Headers],[_Level]]:Tasks[[#This Row],[_Level]]=Tasks[[#This Row],[_Level]]-1),ROW(Tasks[[#Headers],[_Level]]:Tasks[[#This Row],[_Level]])),0))</f>
        <v>0</v>
      </c>
      <c r="BX196" s="42" t="n">
        <f aca="false">IFERROR(N(INDEX(Tasks[_Level],Tasks[[#This Row],[_Row]]+1)),0)</f>
        <v>0</v>
      </c>
      <c r="BY196" s="88" t="b">
        <f aca="false">AND(Tasks[[#This Row],[Task Name]]&lt;&gt;"",Tasks[[#This Row],[_NextLevel]]&gt;Tasks[[#This Row],[_Level]])</f>
        <v>0</v>
      </c>
      <c r="BZ196" s="42" t="n">
        <f aca="false">IF(Tasks[[#This Row],[_IsSummary]],COUNTIF(Tasks[WBS],Tasks[[#This Row],[WBS]]&amp;".*"),0)</f>
        <v>0</v>
      </c>
      <c r="CA196" s="42" t="n">
        <f aca="false">IF(AND(Tasks[[#This Row],[Task Name]]&lt;&gt;"",NOT(Tasks[[#This Row],[_IsSummary]])),1,0)</f>
        <v>0</v>
      </c>
      <c r="CB196" s="42" t="n">
        <f aca="false">IF(N(Tasks[[#This Row],[_Pred1UID]])=0,0,IFERROR(MATCH(Tasks[[#This Row],[_Pred1UID]],Tasks[UID],0),-1))</f>
        <v>0</v>
      </c>
      <c r="CC196" s="42" t="n">
        <f aca="false">IF(N(Tasks[[#This Row],[_Pred2UID]])=0,0,IFERROR(MATCH(Tasks[[#This Row],[_Pred2UID]],Tasks[UID],0),-1))</f>
        <v>0</v>
      </c>
      <c r="CD196" s="42" t="n">
        <f aca="false">IF(N(Tasks[[#This Row],[_Pred3UID]])=0,0,IFERROR(MATCH(Tasks[[#This Row],[_Pred3UID]],Tasks[UID],0),-1))</f>
        <v>0</v>
      </c>
      <c r="CE196" s="42" t="n">
        <f aca="false">IF(N(Tasks[[#This Row],[_Pred4UID]])=0,0,IFERROR(MATCH(Tasks[[#This Row],[_Pred4UID]],Tasks[UID],0),-1))</f>
        <v>0</v>
      </c>
      <c r="CF1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6" s="89" t="n">
        <f aca="false">IF(OR(Tasks[[#This Row],[_ConstraintCode]]=2,Tasks[[#This Row],[_ConstraintCode]]=3,Tasks[[#This Row],[_ConstraintCode]]=4,Tasks[[#This Row],[_ConstraintCode]]=6),Tasks[[#This Row],[_ConstraintStart]],0)</f>
        <v>0</v>
      </c>
      <c r="CI196" s="89" t="n">
        <f aca="false">IF(OR(Tasks[[#This Row],[_ConstraintCode]]=2,Tasks[[#This Row],[_ConstraintCode]]=3,Tasks[[#This Row],[_ConstraintCode]]=5,Tasks[[#This Row],[_ConstraintCode]]=7),Tasks[[#This Row],[_ConstraintStart]],2958465)</f>
        <v>2958465</v>
      </c>
      <c r="CJ1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6" s="89" t="str">
        <f aca="false">IF(NOT(Tasks[[#This Row],[_IsLeaf]]=1),"",IF(N(Tasks[[#This Row],[_Days]])&lt;=0,Tasks[[#This Row],[_LeafCalcStart]],WORKDAY.INTL(Tasks[[#This Row],[_LeafCalcStart]],Tasks[[#This Row],[_Days]]-1,WorkWeek,Holidays)))</f>
        <v/>
      </c>
      <c r="CL1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6" s="42" t="str">
        <f aca="false">IF(Tasks[[#This Row],[_Predecessors]]="","",TRIM(MID(SUBSTITUTE(SUBSTITUTE(SUBSTITUTE(UPPER(Tasks[[#This Row],[_Predecessors]]),";",",")," ",""),",",REPT(" ",99)),1,99)))</f>
        <v/>
      </c>
      <c r="CO196" s="42" t="str">
        <f aca="false">IF(Tasks[[#This Row],[_Pred1Text]]="","",IFERROR(VALUE(LEFT(Tasks[[#This Row],[_Pred1Text]],MIN(FIND("F",Tasks[[#This Row],[_Pred1Text]]&amp;"F"),FIND("S",Tasks[[#This Row],[_Pred1Text]]&amp;"S"),FIND("+",Tasks[[#This Row],[_Pred1Text]]&amp;"+"),FIND("-",Tasks[[#This Row],[_Pred1Text]]&amp;"-"))-1)),""))</f>
        <v/>
      </c>
      <c r="CP1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6" s="42" t="str">
        <f aca="false">IF(Tasks[[#This Row],[_Pred1Text]]="","",TRIM(MID(SUBSTITUTE(SUBSTITUTE(SUBSTITUTE(UPPER(Tasks[[#This Row],[_Predecessors]]),";",",")," ",""),",",REPT(" ",99)),100,99)))</f>
        <v/>
      </c>
      <c r="CS196" s="42" t="str">
        <f aca="false">IF(Tasks[[#This Row],[_Pred2Text]]="","",IFERROR(VALUE(LEFT(Tasks[[#This Row],[_Pred2Text]],MIN(FIND("F",Tasks[[#This Row],[_Pred2Text]]&amp;"F"),FIND("S",Tasks[[#This Row],[_Pred2Text]]&amp;"S"),FIND("+",Tasks[[#This Row],[_Pred2Text]]&amp;"+"),FIND("-",Tasks[[#This Row],[_Pred2Text]]&amp;"-"))-1)),""))</f>
        <v/>
      </c>
      <c r="CT1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6" s="42" t="str">
        <f aca="false">IF(Tasks[[#This Row],[_Pred2Text]]="","",TRIM(MID(SUBSTITUTE(SUBSTITUTE(SUBSTITUTE(UPPER(Tasks[[#This Row],[_Predecessors]]),";",",")," ",""),",",REPT(" ",99)),199,99)))</f>
        <v/>
      </c>
      <c r="CW196" s="42" t="str">
        <f aca="false">IF(Tasks[[#This Row],[_Pred3Text]]="","",IFERROR(VALUE(LEFT(Tasks[[#This Row],[_Pred3Text]],MIN(FIND("F",Tasks[[#This Row],[_Pred3Text]]&amp;"F"),FIND("S",Tasks[[#This Row],[_Pred3Text]]&amp;"S"),FIND("+",Tasks[[#This Row],[_Pred3Text]]&amp;"+"),FIND("-",Tasks[[#This Row],[_Pred3Text]]&amp;"-"))-1)),""))</f>
        <v/>
      </c>
      <c r="CX1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6" s="42" t="str">
        <f aca="false">IF(Tasks[[#This Row],[_Pred3Text]]="","",TRIM(MID(SUBSTITUTE(SUBSTITUTE(SUBSTITUTE(UPPER(Tasks[[#This Row],[_Predecessors]]),";",",")," ",""),",",REPT(" ",99)),298,99)))</f>
        <v/>
      </c>
      <c r="DA196" s="42" t="str">
        <f aca="false">IF(Tasks[[#This Row],[_Pred4Text]]="","",IFERROR(VALUE(LEFT(Tasks[[#This Row],[_Pred4Text]],MIN(FIND("F",Tasks[[#This Row],[_Pred4Text]]&amp;"F"),FIND("S",Tasks[[#This Row],[_Pred4Text]]&amp;"S"),FIND("+",Tasks[[#This Row],[_Pred4Text]]&amp;"+"),FIND("-",Tasks[[#This Row],[_Pred4Text]]&amp;"-"))-1)),""))</f>
        <v/>
      </c>
      <c r="DB1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6" s="42" t="str">
        <f aca="false">IF(OR(Tasks[[#This Row],[Task Name]]="",Tasks[[#This Row],[_Resources]]=""),"",TRIM(MID(SUBSTITUTE(Tasks[[#This Row],[_Resources]],",",REPT(" ",99)),1,99)))</f>
        <v/>
      </c>
      <c r="DE196" s="42" t="str">
        <f aca="false">IF(Tasks[[#This Row],[_Res1Text]]="","",TRIM(MID(SUBSTITUTE(Tasks[[#This Row],[_Resources]],",",REPT(" ",99)),100,99)))</f>
        <v/>
      </c>
      <c r="DF196" s="42" t="str">
        <f aca="false">IF(Tasks[[#This Row],[_Res2Text]]="","",TRIM(MID(SUBSTITUTE(Tasks[[#This Row],[_Resources]],",",REPT(" ",99)),199,99)))</f>
        <v/>
      </c>
      <c r="DG196" s="42" t="str">
        <f aca="false">IF(Tasks[[#This Row],[_Res3Text]]="","",TRIM(MID(SUBSTITUTE(Tasks[[#This Row],[_Resources]],",",REPT(" ",99)),298,99)))</f>
        <v/>
      </c>
      <c r="DH196" s="42" t="n">
        <f aca="false">IF(Tasks[[#This Row],[_Res1Text]]="",0,IFERROR(MATCH(TRIM(LEFT(Tasks[[#This Row],[_Res1Text]],FIND("[",Tasks[[#This Row],[_Res1Text]]&amp;"[")-1)),res_Name,0),IFERROR(MATCH(TRIM(LEFT(Tasks[[#This Row],[_Res1Text]],FIND("[",Tasks[[#This Row],[_Res1Text]]&amp;"[")-1)),res_Initials,0),0)))</f>
        <v>0</v>
      </c>
      <c r="DI196" s="42" t="n">
        <f aca="false">IF(Tasks[[#This Row],[_Res2Text]]="",0,IFERROR(MATCH(TRIM(LEFT(Tasks[[#This Row],[_Res2Text]],FIND("[",Tasks[[#This Row],[_Res2Text]]&amp;"[")-1)),res_Name,0),IFERROR(MATCH(TRIM(LEFT(Tasks[[#This Row],[_Res2Text]],FIND("[",Tasks[[#This Row],[_Res2Text]]&amp;"[")-1)),res_Initials,0),0)))</f>
        <v>0</v>
      </c>
      <c r="DJ196" s="42" t="n">
        <f aca="false">IF(Tasks[[#This Row],[_Res3Text]]="",0,IFERROR(MATCH(TRIM(LEFT(Tasks[[#This Row],[_Res3Text]],FIND("[",Tasks[[#This Row],[_Res3Text]]&amp;"[")-1)),res_Name,0),IFERROR(MATCH(TRIM(LEFT(Tasks[[#This Row],[_Res3Text]],FIND("[",Tasks[[#This Row],[_Res3Text]]&amp;"[")-1)),res_Initials,0),0)))</f>
        <v>0</v>
      </c>
      <c r="DK196" s="42" t="n">
        <f aca="false">IF(Tasks[[#This Row],[_Res4Text]]="",0,IFERROR(MATCH(TRIM(LEFT(Tasks[[#This Row],[_Res4Text]],FIND("[",Tasks[[#This Row],[_Res4Text]]&amp;"[")-1)),res_Name,0),IFERROR(MATCH(TRIM(LEFT(Tasks[[#This Row],[_Res4Text]],FIND("[",Tasks[[#This Row],[_Res4Text]]&amp;"[")-1)),res_Initials,0),0)))</f>
        <v>0</v>
      </c>
      <c r="DL196" s="42" t="str">
        <f aca="false">IF(Tasks[[#This Row],[_Res1Text]]="","",IF(Tasks[[#This Row],[_Res1Row]]&gt;0,INDEX(res_Name,Tasks[[#This Row],[_Res1Row]]),TRIM(LEFT(Tasks[[#This Row],[_Res1Text]],FIND("[",Tasks[[#This Row],[_Res1Text]]&amp;"[")-1))))</f>
        <v/>
      </c>
      <c r="DM1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6" s="42" t="n">
        <f aca="false">IF(NOT(Tasks[[#This Row],[_IsLeaf]]=1),0,(Tasks[[#This Row],[_Resource1]]&lt;&gt;"")+(Tasks[[#This Row],[_Res2]]&lt;&gt;"")+(Tasks[[#This Row],[_Res3]]&lt;&gt;"")+(Tasks[[#This Row],[_Res4]]&lt;&gt;""))</f>
        <v>0</v>
      </c>
      <c r="DO196" s="42" t="str">
        <f aca="false">IF(Tasks[[#This Row],[_Res2Text]]="","",IF(Tasks[[#This Row],[_Res2Row]]&gt;0,INDEX(res_Name,Tasks[[#This Row],[_Res2Row]]),TRIM(LEFT(Tasks[[#This Row],[_Res2Text]],FIND("[",Tasks[[#This Row],[_Res2Text]]&amp;"[")-1))))</f>
        <v/>
      </c>
      <c r="DP1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6" s="42" t="n">
        <f aca="false">IF(OR(NOT(Tasks[[#This Row],[_IsLeaf]]=1),Tasks[[#This Row],[_Res2Row]]=0),0,N(Tasks[[#This Row],[_Days]])*HoursPerDay*IF(Tasks[[#This Row],[_Res2Units]]="",DefaultUnits,Tasks[[#This Row],[_Res2Units]]))</f>
        <v>0</v>
      </c>
      <c r="DR196" s="42" t="n">
        <f aca="false">IF(AND(AND(Tasks[[#This Row],[_IsLeaf]]=1,Tasks[[#This Row],[_LeafTotalWork]]&gt;0),Tasks[[#This Row],[_Res2Work]]&gt;0),Tasks[[#This Row],[_Res2Work]]/(Tasks[[#This Row],[_FinishWorkday]]-Tasks[[#This Row],[_StartWorkday]]+1),0)</f>
        <v>0</v>
      </c>
      <c r="DS196" s="42" t="n">
        <f aca="false">Tasks[[#This Row],[_Res2WorkPerWD]]*MAX(0,Tasks[[#This Row],[_StartWorkday]]-1)</f>
        <v>0</v>
      </c>
      <c r="DT196" s="42" t="n">
        <f aca="false">Tasks[[#This Row],[_Res2Work]]*Tasks[[#This Row],[_LeafProgress]]</f>
        <v>0</v>
      </c>
      <c r="DU196" s="42" t="str">
        <f aca="false">IF(Tasks[[#This Row],[_Res3Text]]="","",IF(Tasks[[#This Row],[_Res3Row]]&gt;0,INDEX(res_Name,Tasks[[#This Row],[_Res3Row]]),TRIM(LEFT(Tasks[[#This Row],[_Res3Text]],FIND("[",Tasks[[#This Row],[_Res3Text]]&amp;"[")-1))))</f>
        <v/>
      </c>
      <c r="DV1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6" s="42" t="n">
        <f aca="false">IF(OR(NOT(Tasks[[#This Row],[_IsLeaf]]=1),Tasks[[#This Row],[_Res3Row]]=0),0,N(Tasks[[#This Row],[_Days]])*HoursPerDay*IF(Tasks[[#This Row],[_Res3Units]]="",DefaultUnits,Tasks[[#This Row],[_Res3Units]]))</f>
        <v>0</v>
      </c>
      <c r="DX196" s="42" t="n">
        <f aca="false">IF(AND(AND(Tasks[[#This Row],[_IsLeaf]]=1,Tasks[[#This Row],[_LeafTotalWork]]&gt;0),Tasks[[#This Row],[_Res3Work]]&gt;0),Tasks[[#This Row],[_Res3Work]]/(Tasks[[#This Row],[_FinishWorkday]]-Tasks[[#This Row],[_StartWorkday]]+1),0)</f>
        <v>0</v>
      </c>
      <c r="DY196" s="42" t="n">
        <f aca="false">Tasks[[#This Row],[_Res3WorkPerWD]]*MAX(0,Tasks[[#This Row],[_StartWorkday]]-1)</f>
        <v>0</v>
      </c>
      <c r="DZ196" s="42" t="n">
        <f aca="false">Tasks[[#This Row],[_Res3Work]]*Tasks[[#This Row],[_LeafProgress]]</f>
        <v>0</v>
      </c>
      <c r="EA196" s="42" t="str">
        <f aca="false">IF(Tasks[[#This Row],[_Res4Text]]="","",IF(Tasks[[#This Row],[_Res4Row]]&gt;0,INDEX(res_Name,Tasks[[#This Row],[_Res4Row]]),TRIM(LEFT(Tasks[[#This Row],[_Res4Text]],FIND("[",Tasks[[#This Row],[_Res4Text]]&amp;"[")-1))))</f>
        <v/>
      </c>
      <c r="EB1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6" s="42" t="n">
        <f aca="false">IF(OR(NOT(Tasks[[#This Row],[_IsLeaf]]=1),Tasks[[#This Row],[_Res4Row]]=0),0,N(Tasks[[#This Row],[_Days]])*HoursPerDay*IF(Tasks[[#This Row],[_Res4Units]]="",DefaultUnits,Tasks[[#This Row],[_Res4Units]]))</f>
        <v>0</v>
      </c>
      <c r="ED196" s="42" t="n">
        <f aca="false">IF(AND(AND(Tasks[[#This Row],[_IsLeaf]]=1,Tasks[[#This Row],[_LeafTotalWork]]&gt;0),Tasks[[#This Row],[_Res4Work]]&gt;0),Tasks[[#This Row],[_Res4Work]]/(Tasks[[#This Row],[_FinishWorkday]]-Tasks[[#This Row],[_StartWorkday]]+1),0)</f>
        <v>0</v>
      </c>
      <c r="EE196" s="42" t="n">
        <f aca="false">Tasks[[#This Row],[_Res4WorkPerWD]]*MAX(0,Tasks[[#This Row],[_StartWorkday]]-1)</f>
        <v>0</v>
      </c>
      <c r="EF196" s="42" t="n">
        <f aca="false">Tasks[[#This Row],[_Res4Work]]*Tasks[[#This Row],[_LeafProgress]]</f>
        <v>0</v>
      </c>
      <c r="EG196" s="42" t="n">
        <f aca="false">IF(ISNUMBER(Tasks[[#This Row],[% Complete]]),Tasks[[#This Row],[% Complete]],IF(Tasks[[#This Row],[Stage]]="",0,IFERROR(INDEX(stg_Pct,MATCH(Tasks[[#This Row],[Stage]],stg_Name,0)),0)))</f>
        <v>0</v>
      </c>
      <c r="EH196" s="42" t="n">
        <f aca="false">IF(NOT(Tasks[[#This Row],[_IsLeaf]]=1),0,IF(N(Tasks[[#This Row],[Actual Finish]])&gt;0,1,MIN(1,Tasks[[#This Row],[_Pct]])))</f>
        <v>0</v>
      </c>
      <c r="EI196" s="42" t="n">
        <f aca="false">IF(OR(NOT(Tasks[[#This Row],[_IsLeaf]]=1),Tasks[[#This Row],[_Res1Row]]=0),0,N(Tasks[[#This Row],[_Days]])*HoursPerDay*IF(Tasks[[#This Row],[_Units1]]="",DefaultUnits,Tasks[[#This Row],[_Units1]]))</f>
        <v>0</v>
      </c>
      <c r="EJ196" s="42" t="n">
        <f aca="false">Tasks[[#This Row],[_LeafWork]]+Tasks[[#This Row],[_Res2Work]]+Tasks[[#This Row],[_Res3Work]]+Tasks[[#This Row],[_Res4Work]]</f>
        <v>0</v>
      </c>
      <c r="EK1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6" s="42" t="n">
        <f aca="false">IF(NOT(Tasks[[#This Row],[_IsLeaf]]=1),0,MAX(_xlfn.MAXIFS(Tasks[_Row],Tasks[_Pred1UID],Tasks[[#This Row],[UID]]),_xlfn.MAXIFS(Tasks[_Row],Tasks[_Pred2UID],Tasks[[#This Row],[UID]]),_xlfn.MAXIFS(Tasks[_Row],Tasks[_Pred3UID],Tasks[[#This Row],[UID]]),_xlfn.MAXIFS(Tasks[_Row],Tasks[_Pred4UID],Tasks[[#This Row],[UID]])))</f>
        <v>0</v>
      </c>
      <c r="ET1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6" s="89" t="str">
        <f aca="false">IF(NOT(Tasks[[#This Row],[_IsLeaf]]=1),"",IF(N(Tasks[[#This Row],[_Days]])&lt;=0,Tasks[[#This Row],[_LeafLateFinish]],WORKDAY.INTL(Tasks[[#This Row],[_LeafLateFinish]],-(Tasks[[#This Row],[_Days]]-1),WorkWeek,Holidays)))</f>
        <v/>
      </c>
      <c r="EW1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6" s="88" t="b">
        <f aca="false">AND(Tasks[[#This Row],[_IsLeaf]]=1,Tasks[[#This Row],[_LeafProgress]]&lt;1,N(Tasks[[#This Row],[_LeafTotalSlack]])&lt;=CriticalSlackDays)</f>
        <v>0</v>
      </c>
      <c r="EY196" s="42" t="n">
        <f aca="false">IF(AND(Tasks[[#This Row],[_IsLeaf]]=1,Tasks[[#This Row],[_ConstraintCode]]=1,Tasks[[#This Row],[Mode]]&lt;&gt;"Manual",N(Tasks[[#This Row],[Actual Start]])=0),MAX(0,N(Tasks[[#This Row],[Free Slack]])),0)</f>
        <v>0</v>
      </c>
      <c r="EZ196" s="89" t="str">
        <f aca="false">IF(NOT(Tasks[[#This Row],[_IsLeaf]]=1),"",IF(Tasks[[#This Row],[_AlapShift]]=0,Tasks[[#This Row],[_LeafCalcStart]],WORKDAY.INTL(Tasks[[#This Row],[_LeafCalcStart]],Tasks[[#This Row],[_AlapShift]],WorkWeek,Holidays)))</f>
        <v/>
      </c>
      <c r="FA196" s="89" t="str">
        <f aca="false">IF(NOT(Tasks[[#This Row],[_IsLeaf]]=1),"",IF(Tasks[[#This Row],[_AlapShift]]=0,Tasks[[#This Row],[_LeafCalcFinish]],WORKDAY.INTL(Tasks[[#This Row],[_LeafCalcFinish]],Tasks[[#This Row],[_AlapShift]],WorkWeek,Holidays)))</f>
        <v/>
      </c>
      <c r="FB196" s="89" t="str">
        <f aca="false">IF(NOT(Tasks[[#This Row],[_IsLeaf]]=1),"",IF(Tasks[[#This Row],[_AlapShift]]=0,Tasks[[#This Row],[_LeafFcstStart]],WORKDAY.INTL(Tasks[[#This Row],[_LeafFcstStart]],Tasks[[#This Row],[_AlapShift]],WorkWeek,Holidays)))</f>
        <v/>
      </c>
      <c r="FC196" s="89" t="str">
        <f aca="false">IF(NOT(Tasks[[#This Row],[_IsLeaf]]=1),"",IF(Tasks[[#This Row],[_AlapShift]]=0,Tasks[[#This Row],[_LeafFcstFinish]],WORKDAY.INTL(Tasks[[#This Row],[_LeafFcstFinish]],Tasks[[#This Row],[_AlapShift]],WorkWeek,Holidays)))</f>
        <v/>
      </c>
      <c r="FD196" s="89" t="str">
        <f aca="false">IF(Tasks[[#This Row],[Task Name]]="","",IF(Tasks[[#This Row],[_IsSummary]],MIN(INDEX(Tasks[_ShownCalcStart],Tasks[[#This Row],[_Row]]+1):INDEX(Tasks[_ShownCalcStart],Tasks[[#This Row],[_Row]]+Tasks[[#This Row],[_Descendants]])),Tasks[[#This Row],[_ShownCalcStart]]))</f>
        <v/>
      </c>
      <c r="FE196" s="89" t="str">
        <f aca="false">IF(Tasks[[#This Row],[Task Name]]="","",IF(Tasks[[#This Row],[_IsSummary]],MAX(INDEX(Tasks[_ShownCalcFinish],Tasks[[#This Row],[_Row]]+1):INDEX(Tasks[_ShownCalcFinish],Tasks[[#This Row],[_Row]]+Tasks[[#This Row],[_Descendants]])),Tasks[[#This Row],[_ShownCalcFinish]]))</f>
        <v/>
      </c>
      <c r="FF1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6" s="42" t="n">
        <f aca="false">IF(AND(Tasks[[#This Row],[_IsLeaf]]=1,Tasks[[#This Row],[_LeafTotalWork]]&gt;0),NETWORKDAYS.INTL(ProjectStart,Tasks[[#This Row],[_ShownFcstStart]],WorkWeek,Holidays),0)</f>
        <v>0</v>
      </c>
      <c r="FS196" s="42" t="n">
        <f aca="false">IF(AND(Tasks[[#This Row],[_IsLeaf]]=1,Tasks[[#This Row],[_LeafTotalWork]]&gt;0),MAX(Tasks[[#This Row],[_StartWorkday]],NETWORKDAYS.INTL(ProjectStart,Tasks[[#This Row],[_ShownFcstFinish]],WorkWeek,Holidays)),0)</f>
        <v>0</v>
      </c>
      <c r="FT196" s="42" t="n">
        <f aca="false">IF(AND(Tasks[[#This Row],[_IsLeaf]]=1,Tasks[[#This Row],[_LeafTotalWork]]&gt;0),Tasks[[#This Row],[_LeafWork]]/(Tasks[[#This Row],[_FinishWorkday]]-Tasks[[#This Row],[_StartWorkday]]+1),0)</f>
        <v>0</v>
      </c>
      <c r="FU196" s="42" t="n">
        <f aca="false">Tasks[[#This Row],[_WorkPerWorkday]]*(Tasks[[#This Row],[_StartWorkday]]-1)</f>
        <v>-0</v>
      </c>
      <c r="FV196" s="42" t="n">
        <f aca="false">IF(Tasks[[#This Row],[_IsLeaf]]=1,MAX(N(Tasks[[#This Row],[_Days]]),0.1),0)</f>
        <v>0</v>
      </c>
      <c r="FW196" s="42" t="n">
        <f aca="false">Tasks[[#This Row],[_WeightDur]]*Tasks[[#This Row],[_LeafProgress]]</f>
        <v>0</v>
      </c>
      <c r="FX196" s="42" t="n">
        <f aca="false">Tasks[[#This Row],[_WeightDur]]*Tasks[[#This Row],[_PlannedPct]]</f>
        <v>0</v>
      </c>
      <c r="FY1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6" s="42" t="str">
        <f aca="false">IF(AND(Tasks[[#This Row],[_IsLeaf]]=1,N(Tasks[[#This Row],[_Days]])=0,Tasks[[#This Row],[_LeafProgress]]&lt;1),Tasks[[#This Row],[_ShownFcstFinish]]+Tasks[[#This Row],[_Row]]/100000,"")</f>
        <v/>
      </c>
      <c r="GA1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6" s="42" t="str">
        <f aca="false">IF(Tasks[[#This Row],[Task Name]]="","",LEFT(Tasks[[#This Row],[WBS]],FIND(".",Tasks[[#This Row],[WBS]]&amp;".")-1))</f>
        <v/>
      </c>
      <c r="GC196" s="42" t="str">
        <f aca="false">IF(AND(Tasks[[#This Row],[Task Name]]&lt;&gt;"",Tasks[[#This Row],[_Level]]=1),Tasks[[#This Row],[_Row]],"")</f>
        <v/>
      </c>
      <c r="GD196" s="42" t="str">
        <f aca="false">IF(AND(Tasks[[#This Row],[_IsLeaf]]=1,N(Tasks[[#This Row],[_Days]])=0),Tasks[[#This Row],[Planned Finish]]+Tasks[[#This Row],[_Row]]/100000,"")</f>
        <v/>
      </c>
      <c r="GE196" s="42" t="str">
        <f aca="false">IF(AND(Tasks[[#This Row],[_IsLeaf]]=1,Tasks[[#This Row],[_LeafProgress]]&lt;1,OR(N(Tasks[[#This Row],[Finish Var]])&gt;0,Tasks[[#This Row],[Status]]="Late Start")),MAX(0,Tasks[[#This Row],[Finish Var]])+1-Tasks[[#This Row],[_Row]]/1000000,"")</f>
        <v/>
      </c>
      <c r="GF196" s="42" t="str">
        <f aca="false">IF(AND(Tasks[[#This Row],[_IsLeaf]]=1,N(Tasks[[#This Row],[Actual Start]])=0,Tasks[[#This Row],[_ShownFcstStart]]&gt;=StatusDate,Tasks[[#This Row],[_ShownFcstStart]]&lt;=LookaheadEnd),Tasks[[#This Row],[_ShownFcstStart]]+Tasks[[#This Row],[_Row]]/100000,"")</f>
        <v/>
      </c>
      <c r="GG196" s="42" t="str">
        <f aca="false">IF(AND(Tasks[[#This Row],[_IsLeaf]]=1,Tasks[[#This Row],[_LeafProgress]]&lt;1,Tasks[[#This Row],[_ShownFcstFinish]]&gt;=StatusDate,Tasks[[#This Row],[_ShownFcstFinish]]&lt;=LookaheadEnd),Tasks[[#This Row],[_ShownFcstFinish]]+Tasks[[#This Row],[_Row]]/100000,"")</f>
        <v/>
      </c>
      <c r="GH196" s="42" t="str">
        <f aca="false">IF(Tasks[[#This Row],[_LeafCritical]],Tasks[[#This Row],[_ShownFcstStart]]+Tasks[[#This Row],[_Row]]/100000,"")</f>
        <v/>
      </c>
      <c r="GI196" s="42" t="n">
        <f aca="false">Tasks[[#This Row],[_LeafWork]]*Tasks[[#This Row],[_LeafProgress]]</f>
        <v>0</v>
      </c>
      <c r="GJ196" s="89" t="str">
        <f aca="false">IF(AND(Tasks[[#This Row],[_IsLeaf]]=1,Tasks[[#This Row],[_LeafProgress]]&gt;=1),IF(N(Tasks[[#This Row],[Actual Finish]])&gt;0,Tasks[[#This Row],[Actual Finish]],Tasks[[#This Row],[_ShownFcstFinish]]),"")</f>
        <v/>
      </c>
      <c r="GK196" s="42" t="n">
        <f aca="false">IF(Tasks[[#This Row],[_IsLeaf]]=1,N(Tasks[[#This Row],[Story Points]]),0)</f>
        <v>0</v>
      </c>
      <c r="GL196" s="42" t="str">
        <f aca="false">""</f>
        <v/>
      </c>
      <c r="GM196" s="88" t="b">
        <f aca="false">IF(Tasks[[#This Row],[Task Name]]="",FALSE(),AND(Tasks[[#This Row],[_IsLeaf]]=1,N(Tasks[[#This Row],[_Days]])=0))</f>
        <v>0</v>
      </c>
      <c r="GN196" s="89" t="n">
        <f aca="false">IF(Tasks[[#This Row],[Task Name]]="",0,IF(AND(Tasks[[#This Row],[_IsLeaf]]=1,NOT(Tasks[[#This Row],[_IsMilestone]]),N(Tasks[[#This Row],[Progress]])&gt;0),Tasks[[#This Row],[Start]],0))</f>
        <v>0</v>
      </c>
      <c r="GO196" s="89" t="n">
        <f aca="false">IF(Tasks[[#This Row],[_DoneFrom]]=0,0,IF(Tasks[[#This Row],[Progress]]&gt;=1,Tasks[[#This Row],[Finish]],MAX(Tasks[[#This Row],[_DoneFrom]],Tasks[[#This Row],[Start]]+ROUND((Tasks[[#This Row],[Finish]]-Tasks[[#This Row],[Start]]+1)*Tasks[[#This Row],[Progress]],0)-1)))</f>
        <v>0</v>
      </c>
      <c r="GP196" s="89" t="n">
        <f aca="false">IF(Tasks[[#This Row],[Task Name]]="",0,IF(OR(NOT(Tasks[[#This Row],[_IsLeaf]]=1),Tasks[[#This Row],[_IsMilestone]],N(Tasks[[#This Row],[Progress]])&gt;=1),0,IF(Tasks[[#This Row],[_DoneTo]]&gt;0,Tasks[[#This Row],[_DoneTo]]+1,Tasks[[#This Row],[Start]])))</f>
        <v>0</v>
      </c>
      <c r="GQ196" s="89" t="n">
        <f aca="false">IF(Tasks[[#This Row],[_RemFrom]]=0,0,Tasks[[#This Row],[Finish]])</f>
        <v>0</v>
      </c>
      <c r="GR196" s="88" t="b">
        <f aca="false">IF(Tasks[[#This Row],[Task Name]]="",FALSE(),OR(NOT(BaselineSet),N(Tasks[[#This Row],[Baseline Start]])&gt;0))</f>
        <v>0</v>
      </c>
      <c r="GS1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6" s="90" t="str">
        <f aca="false">IF(Tasks[[#This Row],[_IsLeaf]]=1,Tasks[[#This Row],[_Row]],"")</f>
        <v/>
      </c>
      <c r="GW196" s="90" t="str">
        <f aca="false">IFERROR(INDEX(Tasks[UID],SMALL(Tasks[_PickKey],Tasks[[#This Row],[_Row]]))&amp;" "&amp;INDEX(Tasks[Task Name],SMALL(Tasks[_PickKey],Tasks[[#This Row],[_Row]])),"")</f>
        <v/>
      </c>
      <c r="GX196" s="42" t="str">
        <f aca="false">IF(Tasks[[#This Row],[Task Name]]="","",IF(Tasks[[#This Row],[_IsSummary]],NETWORKDAYS.INTL(Tasks[[#This Row],[Start]],Tasks[[#This Row],[Finish]],WorkWeek,Holidays),N(Tasks[[#This Row],[_Days]])))</f>
        <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3"/>
      <c r="U197" s="23"/>
      <c r="V197" s="83"/>
      <c r="W197" s="23"/>
      <c r="X197" s="83"/>
      <c r="Y197" s="23"/>
      <c r="Z197" s="83"/>
      <c r="AA197" s="23"/>
      <c r="AB197" s="23"/>
      <c r="AC197" s="7"/>
      <c r="AD197" s="7"/>
      <c r="AE197" s="62" t="str">
        <f aca="false">IF(Tasks[[#This Row],[Task Name]]="","",IF(Tasks[[#This Row],[_IsSummary]],MIN(INDEX(Tasks[_ShownFcstStart],Tasks[[#This Row],[_Row]]+1):INDEX(Tasks[_ShownFcstStart],Tasks[[#This Row],[_Row]]+Tasks[[#This Row],[_Descendants]])),Tasks[[#This Row],[_ShownFcstStart]]))</f>
        <v/>
      </c>
      <c r="AF197" s="62"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7" s="7"/>
      <c r="AK197" s="22"/>
      <c r="AL197" s="23"/>
      <c r="AM197" s="7"/>
      <c r="AN197" s="46"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2" t="str">
        <f aca="false">IF(Tasks[[#This Row],[Task Name]]="","",IF(N(Tasks[[#This Row],[Baseline Start]])&gt;0,Tasks[[#This Row],[Baseline Start]],Tasks[[#This Row],[_CalcStart]]))</f>
        <v/>
      </c>
      <c r="AR197" s="62" t="str">
        <f aca="false">IF(Tasks[[#This Row],[Task Name]]="","",IF(N(Tasks[[#This Row],[Baseline Finish]])&gt;0,Tasks[[#This Row],[Baseline Finish]],Tasks[[#This Row],[_CalcFinish]]))</f>
        <v/>
      </c>
      <c r="AS197" s="46" t="str">
        <f aca="false">IF(Tasks[[#This Row],[Task Name]]="","",IF(Tasks[[#This Row],[Start]]&gt;=Tasks[[#This Row],[Planned Start]],NETWORKDAYS.INTL(Tasks[[#This Row],[Planned Start]],Tasks[[#This Row],[Start]],WorkWeek,Holidays)-1,1-NETWORKDAYS.INTL(Tasks[[#This Row],[Start]],Tasks[[#This Row],[Planned Start]],WorkWeek,Holidays)))</f>
        <v/>
      </c>
      <c r="AT197" s="62" t="str">
        <f aca="false">IF(Tasks[[#This Row],[Task Name]]="","",IF(Tasks[[#This Row],[_IsSummary]],MIN(INDEX(Tasks[_LeafLateStart],Tasks[[#This Row],[_Row]]+1):INDEX(Tasks[_LeafLateStart],Tasks[[#This Row],[_Row]]+Tasks[[#This Row],[_Descendants]])),Tasks[[#This Row],[_LeafLateStart]]))</f>
        <v/>
      </c>
      <c r="AU197" s="62" t="str">
        <f aca="false">IF(Tasks[[#This Row],[Task Name]]="","",IF(Tasks[[#This Row],[_IsSummary]],MAX(INDEX(Tasks[_LeafLateFinish],Tasks[[#This Row],[_Row]]+1):INDEX(Tasks[_LeafLateFinish],Tasks[[#This Row],[_Row]]+Tasks[[#This Row],[_Descendants]])),Tasks[[#This Row],[_LeafLateFinish]]))</f>
        <v/>
      </c>
      <c r="AV197" s="46"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4"/>
      <c r="BA1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5"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6"/>
      <c r="BJ197" s="22"/>
      <c r="BK197" s="46" t="str">
        <f aca="false">IF(OR(Tasks[[#This Row],[Task Name]]="",Tasks[[#This Row],[Baseline Duration]]=""),"",Tasks[[#This Row],[_SpanDays]]-N(Tasks[[#This Row],[Baseline Duration]]))</f>
        <v/>
      </c>
      <c r="BL197" s="85" t="str">
        <f aca="false">IF(OR(Tasks[[#This Row],[Task Name]]="",Tasks[[#This Row],[Baseline Work]]=""),"",Tasks[[#This Row],[Work]]-N(Tasks[[#This Row],[Baseline Work]]))</f>
        <v/>
      </c>
      <c r="BM197" s="62" t="str">
        <f aca="false">IF(Tasks[[#This Row],[Task Name]]="","",IF(OR(TakeBaseline="Yes",N(Tasks[[#This Row],[Baseline Start]])=0),Tasks[[#This Row],[Start]],Tasks[[#This Row],[Baseline Start]]))</f>
        <v/>
      </c>
      <c r="BN197" s="62"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5" t="str">
        <f aca="false">IF(Tasks[[#This Row],[Task Name]]="","",IF(OR(TakeBaseline="Yes",N(Tasks[[#This Row],[Baseline Work]])=0),Tasks[[#This Row],[Work]],Tasks[[#This Row],[Baseline Work]]))</f>
        <v/>
      </c>
      <c r="BQ197" s="7"/>
      <c r="BR197" s="7"/>
      <c r="BS197" s="22"/>
      <c r="BT197" s="87"/>
      <c r="BU197" s="42" t="str">
        <f aca="false">IF(Tasks[[#This Row],[Task Name]]="","",MAX(1,N(Tasks[[#This Row],[Level]])))</f>
        <v/>
      </c>
      <c r="BV197" s="42" t="n">
        <f aca="false">ROW()-ROW(Tasks[[#Headers],[ID]])</f>
        <v>192</v>
      </c>
      <c r="BW197" s="42" t="n">
        <f aca="false">IF(OR(Tasks[[#This Row],[Task Name]]="",Tasks[[#This Row],[_Level]]&lt;=1),0,IFERROR(LOOKUP(2,1/(Tasks[[#Headers],[_Level]]:Tasks[[#This Row],[_Level]]=Tasks[[#This Row],[_Level]]-1),ROW(Tasks[[#Headers],[_Level]]:Tasks[[#This Row],[_Level]])),0))</f>
        <v>0</v>
      </c>
      <c r="BX197" s="42" t="n">
        <f aca="false">IFERROR(N(INDEX(Tasks[_Level],Tasks[[#This Row],[_Row]]+1)),0)</f>
        <v>0</v>
      </c>
      <c r="BY197" s="88" t="b">
        <f aca="false">AND(Tasks[[#This Row],[Task Name]]&lt;&gt;"",Tasks[[#This Row],[_NextLevel]]&gt;Tasks[[#This Row],[_Level]])</f>
        <v>0</v>
      </c>
      <c r="BZ197" s="42" t="n">
        <f aca="false">IF(Tasks[[#This Row],[_IsSummary]],COUNTIF(Tasks[WBS],Tasks[[#This Row],[WBS]]&amp;".*"),0)</f>
        <v>0</v>
      </c>
      <c r="CA197" s="42" t="n">
        <f aca="false">IF(AND(Tasks[[#This Row],[Task Name]]&lt;&gt;"",NOT(Tasks[[#This Row],[_IsSummary]])),1,0)</f>
        <v>0</v>
      </c>
      <c r="CB197" s="42" t="n">
        <f aca="false">IF(N(Tasks[[#This Row],[_Pred1UID]])=0,0,IFERROR(MATCH(Tasks[[#This Row],[_Pred1UID]],Tasks[UID],0),-1))</f>
        <v>0</v>
      </c>
      <c r="CC197" s="42" t="n">
        <f aca="false">IF(N(Tasks[[#This Row],[_Pred2UID]])=0,0,IFERROR(MATCH(Tasks[[#This Row],[_Pred2UID]],Tasks[UID],0),-1))</f>
        <v>0</v>
      </c>
      <c r="CD197" s="42" t="n">
        <f aca="false">IF(N(Tasks[[#This Row],[_Pred3UID]])=0,0,IFERROR(MATCH(Tasks[[#This Row],[_Pred3UID]],Tasks[UID],0),-1))</f>
        <v>0</v>
      </c>
      <c r="CE197" s="42" t="n">
        <f aca="false">IF(N(Tasks[[#This Row],[_Pred4UID]])=0,0,IFERROR(MATCH(Tasks[[#This Row],[_Pred4UID]],Tasks[UID],0),-1))</f>
        <v>0</v>
      </c>
      <c r="CF1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7" s="89" t="n">
        <f aca="false">IF(OR(Tasks[[#This Row],[_ConstraintCode]]=2,Tasks[[#This Row],[_ConstraintCode]]=3,Tasks[[#This Row],[_ConstraintCode]]=4,Tasks[[#This Row],[_ConstraintCode]]=6),Tasks[[#This Row],[_ConstraintStart]],0)</f>
        <v>0</v>
      </c>
      <c r="CI197" s="89" t="n">
        <f aca="false">IF(OR(Tasks[[#This Row],[_ConstraintCode]]=2,Tasks[[#This Row],[_ConstraintCode]]=3,Tasks[[#This Row],[_ConstraintCode]]=5,Tasks[[#This Row],[_ConstraintCode]]=7),Tasks[[#This Row],[_ConstraintStart]],2958465)</f>
        <v>2958465</v>
      </c>
      <c r="CJ1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7" s="89" t="str">
        <f aca="false">IF(NOT(Tasks[[#This Row],[_IsLeaf]]=1),"",IF(N(Tasks[[#This Row],[_Days]])&lt;=0,Tasks[[#This Row],[_LeafCalcStart]],WORKDAY.INTL(Tasks[[#This Row],[_LeafCalcStart]],Tasks[[#This Row],[_Days]]-1,WorkWeek,Holidays)))</f>
        <v/>
      </c>
      <c r="CL1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7" s="42" t="str">
        <f aca="false">IF(Tasks[[#This Row],[_Predecessors]]="","",TRIM(MID(SUBSTITUTE(SUBSTITUTE(SUBSTITUTE(UPPER(Tasks[[#This Row],[_Predecessors]]),";",",")," ",""),",",REPT(" ",99)),1,99)))</f>
        <v/>
      </c>
      <c r="CO197" s="42" t="str">
        <f aca="false">IF(Tasks[[#This Row],[_Pred1Text]]="","",IFERROR(VALUE(LEFT(Tasks[[#This Row],[_Pred1Text]],MIN(FIND("F",Tasks[[#This Row],[_Pred1Text]]&amp;"F"),FIND("S",Tasks[[#This Row],[_Pred1Text]]&amp;"S"),FIND("+",Tasks[[#This Row],[_Pred1Text]]&amp;"+"),FIND("-",Tasks[[#This Row],[_Pred1Text]]&amp;"-"))-1)),""))</f>
        <v/>
      </c>
      <c r="CP1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7" s="42" t="str">
        <f aca="false">IF(Tasks[[#This Row],[_Pred1Text]]="","",TRIM(MID(SUBSTITUTE(SUBSTITUTE(SUBSTITUTE(UPPER(Tasks[[#This Row],[_Predecessors]]),";",",")," ",""),",",REPT(" ",99)),100,99)))</f>
        <v/>
      </c>
      <c r="CS197" s="42" t="str">
        <f aca="false">IF(Tasks[[#This Row],[_Pred2Text]]="","",IFERROR(VALUE(LEFT(Tasks[[#This Row],[_Pred2Text]],MIN(FIND("F",Tasks[[#This Row],[_Pred2Text]]&amp;"F"),FIND("S",Tasks[[#This Row],[_Pred2Text]]&amp;"S"),FIND("+",Tasks[[#This Row],[_Pred2Text]]&amp;"+"),FIND("-",Tasks[[#This Row],[_Pred2Text]]&amp;"-"))-1)),""))</f>
        <v/>
      </c>
      <c r="CT1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7" s="42" t="str">
        <f aca="false">IF(Tasks[[#This Row],[_Pred2Text]]="","",TRIM(MID(SUBSTITUTE(SUBSTITUTE(SUBSTITUTE(UPPER(Tasks[[#This Row],[_Predecessors]]),";",",")," ",""),",",REPT(" ",99)),199,99)))</f>
        <v/>
      </c>
      <c r="CW197" s="42" t="str">
        <f aca="false">IF(Tasks[[#This Row],[_Pred3Text]]="","",IFERROR(VALUE(LEFT(Tasks[[#This Row],[_Pred3Text]],MIN(FIND("F",Tasks[[#This Row],[_Pred3Text]]&amp;"F"),FIND("S",Tasks[[#This Row],[_Pred3Text]]&amp;"S"),FIND("+",Tasks[[#This Row],[_Pred3Text]]&amp;"+"),FIND("-",Tasks[[#This Row],[_Pred3Text]]&amp;"-"))-1)),""))</f>
        <v/>
      </c>
      <c r="CX1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7" s="42" t="str">
        <f aca="false">IF(Tasks[[#This Row],[_Pred3Text]]="","",TRIM(MID(SUBSTITUTE(SUBSTITUTE(SUBSTITUTE(UPPER(Tasks[[#This Row],[_Predecessors]]),";",",")," ",""),",",REPT(" ",99)),298,99)))</f>
        <v/>
      </c>
      <c r="DA197" s="42" t="str">
        <f aca="false">IF(Tasks[[#This Row],[_Pred4Text]]="","",IFERROR(VALUE(LEFT(Tasks[[#This Row],[_Pred4Text]],MIN(FIND("F",Tasks[[#This Row],[_Pred4Text]]&amp;"F"),FIND("S",Tasks[[#This Row],[_Pred4Text]]&amp;"S"),FIND("+",Tasks[[#This Row],[_Pred4Text]]&amp;"+"),FIND("-",Tasks[[#This Row],[_Pred4Text]]&amp;"-"))-1)),""))</f>
        <v/>
      </c>
      <c r="DB1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7" s="42" t="str">
        <f aca="false">IF(OR(Tasks[[#This Row],[Task Name]]="",Tasks[[#This Row],[_Resources]]=""),"",TRIM(MID(SUBSTITUTE(Tasks[[#This Row],[_Resources]],",",REPT(" ",99)),1,99)))</f>
        <v/>
      </c>
      <c r="DE197" s="42" t="str">
        <f aca="false">IF(Tasks[[#This Row],[_Res1Text]]="","",TRIM(MID(SUBSTITUTE(Tasks[[#This Row],[_Resources]],",",REPT(" ",99)),100,99)))</f>
        <v/>
      </c>
      <c r="DF197" s="42" t="str">
        <f aca="false">IF(Tasks[[#This Row],[_Res2Text]]="","",TRIM(MID(SUBSTITUTE(Tasks[[#This Row],[_Resources]],",",REPT(" ",99)),199,99)))</f>
        <v/>
      </c>
      <c r="DG197" s="42" t="str">
        <f aca="false">IF(Tasks[[#This Row],[_Res3Text]]="","",TRIM(MID(SUBSTITUTE(Tasks[[#This Row],[_Resources]],",",REPT(" ",99)),298,99)))</f>
        <v/>
      </c>
      <c r="DH197" s="42" t="n">
        <f aca="false">IF(Tasks[[#This Row],[_Res1Text]]="",0,IFERROR(MATCH(TRIM(LEFT(Tasks[[#This Row],[_Res1Text]],FIND("[",Tasks[[#This Row],[_Res1Text]]&amp;"[")-1)),res_Name,0),IFERROR(MATCH(TRIM(LEFT(Tasks[[#This Row],[_Res1Text]],FIND("[",Tasks[[#This Row],[_Res1Text]]&amp;"[")-1)),res_Initials,0),0)))</f>
        <v>0</v>
      </c>
      <c r="DI197" s="42" t="n">
        <f aca="false">IF(Tasks[[#This Row],[_Res2Text]]="",0,IFERROR(MATCH(TRIM(LEFT(Tasks[[#This Row],[_Res2Text]],FIND("[",Tasks[[#This Row],[_Res2Text]]&amp;"[")-1)),res_Name,0),IFERROR(MATCH(TRIM(LEFT(Tasks[[#This Row],[_Res2Text]],FIND("[",Tasks[[#This Row],[_Res2Text]]&amp;"[")-1)),res_Initials,0),0)))</f>
        <v>0</v>
      </c>
      <c r="DJ197" s="42" t="n">
        <f aca="false">IF(Tasks[[#This Row],[_Res3Text]]="",0,IFERROR(MATCH(TRIM(LEFT(Tasks[[#This Row],[_Res3Text]],FIND("[",Tasks[[#This Row],[_Res3Text]]&amp;"[")-1)),res_Name,0),IFERROR(MATCH(TRIM(LEFT(Tasks[[#This Row],[_Res3Text]],FIND("[",Tasks[[#This Row],[_Res3Text]]&amp;"[")-1)),res_Initials,0),0)))</f>
        <v>0</v>
      </c>
      <c r="DK197" s="42" t="n">
        <f aca="false">IF(Tasks[[#This Row],[_Res4Text]]="",0,IFERROR(MATCH(TRIM(LEFT(Tasks[[#This Row],[_Res4Text]],FIND("[",Tasks[[#This Row],[_Res4Text]]&amp;"[")-1)),res_Name,0),IFERROR(MATCH(TRIM(LEFT(Tasks[[#This Row],[_Res4Text]],FIND("[",Tasks[[#This Row],[_Res4Text]]&amp;"[")-1)),res_Initials,0),0)))</f>
        <v>0</v>
      </c>
      <c r="DL197" s="42" t="str">
        <f aca="false">IF(Tasks[[#This Row],[_Res1Text]]="","",IF(Tasks[[#This Row],[_Res1Row]]&gt;0,INDEX(res_Name,Tasks[[#This Row],[_Res1Row]]),TRIM(LEFT(Tasks[[#This Row],[_Res1Text]],FIND("[",Tasks[[#This Row],[_Res1Text]]&amp;"[")-1))))</f>
        <v/>
      </c>
      <c r="DM1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7" s="42" t="n">
        <f aca="false">IF(NOT(Tasks[[#This Row],[_IsLeaf]]=1),0,(Tasks[[#This Row],[_Resource1]]&lt;&gt;"")+(Tasks[[#This Row],[_Res2]]&lt;&gt;"")+(Tasks[[#This Row],[_Res3]]&lt;&gt;"")+(Tasks[[#This Row],[_Res4]]&lt;&gt;""))</f>
        <v>0</v>
      </c>
      <c r="DO197" s="42" t="str">
        <f aca="false">IF(Tasks[[#This Row],[_Res2Text]]="","",IF(Tasks[[#This Row],[_Res2Row]]&gt;0,INDEX(res_Name,Tasks[[#This Row],[_Res2Row]]),TRIM(LEFT(Tasks[[#This Row],[_Res2Text]],FIND("[",Tasks[[#This Row],[_Res2Text]]&amp;"[")-1))))</f>
        <v/>
      </c>
      <c r="DP1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7" s="42" t="n">
        <f aca="false">IF(OR(NOT(Tasks[[#This Row],[_IsLeaf]]=1),Tasks[[#This Row],[_Res2Row]]=0),0,N(Tasks[[#This Row],[_Days]])*HoursPerDay*IF(Tasks[[#This Row],[_Res2Units]]="",DefaultUnits,Tasks[[#This Row],[_Res2Units]]))</f>
        <v>0</v>
      </c>
      <c r="DR197" s="42" t="n">
        <f aca="false">IF(AND(AND(Tasks[[#This Row],[_IsLeaf]]=1,Tasks[[#This Row],[_LeafTotalWork]]&gt;0),Tasks[[#This Row],[_Res2Work]]&gt;0),Tasks[[#This Row],[_Res2Work]]/(Tasks[[#This Row],[_FinishWorkday]]-Tasks[[#This Row],[_StartWorkday]]+1),0)</f>
        <v>0</v>
      </c>
      <c r="DS197" s="42" t="n">
        <f aca="false">Tasks[[#This Row],[_Res2WorkPerWD]]*MAX(0,Tasks[[#This Row],[_StartWorkday]]-1)</f>
        <v>0</v>
      </c>
      <c r="DT197" s="42" t="n">
        <f aca="false">Tasks[[#This Row],[_Res2Work]]*Tasks[[#This Row],[_LeafProgress]]</f>
        <v>0</v>
      </c>
      <c r="DU197" s="42" t="str">
        <f aca="false">IF(Tasks[[#This Row],[_Res3Text]]="","",IF(Tasks[[#This Row],[_Res3Row]]&gt;0,INDEX(res_Name,Tasks[[#This Row],[_Res3Row]]),TRIM(LEFT(Tasks[[#This Row],[_Res3Text]],FIND("[",Tasks[[#This Row],[_Res3Text]]&amp;"[")-1))))</f>
        <v/>
      </c>
      <c r="DV1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7" s="42" t="n">
        <f aca="false">IF(OR(NOT(Tasks[[#This Row],[_IsLeaf]]=1),Tasks[[#This Row],[_Res3Row]]=0),0,N(Tasks[[#This Row],[_Days]])*HoursPerDay*IF(Tasks[[#This Row],[_Res3Units]]="",DefaultUnits,Tasks[[#This Row],[_Res3Units]]))</f>
        <v>0</v>
      </c>
      <c r="DX197" s="42" t="n">
        <f aca="false">IF(AND(AND(Tasks[[#This Row],[_IsLeaf]]=1,Tasks[[#This Row],[_LeafTotalWork]]&gt;0),Tasks[[#This Row],[_Res3Work]]&gt;0),Tasks[[#This Row],[_Res3Work]]/(Tasks[[#This Row],[_FinishWorkday]]-Tasks[[#This Row],[_StartWorkday]]+1),0)</f>
        <v>0</v>
      </c>
      <c r="DY197" s="42" t="n">
        <f aca="false">Tasks[[#This Row],[_Res3WorkPerWD]]*MAX(0,Tasks[[#This Row],[_StartWorkday]]-1)</f>
        <v>0</v>
      </c>
      <c r="DZ197" s="42" t="n">
        <f aca="false">Tasks[[#This Row],[_Res3Work]]*Tasks[[#This Row],[_LeafProgress]]</f>
        <v>0</v>
      </c>
      <c r="EA197" s="42" t="str">
        <f aca="false">IF(Tasks[[#This Row],[_Res4Text]]="","",IF(Tasks[[#This Row],[_Res4Row]]&gt;0,INDEX(res_Name,Tasks[[#This Row],[_Res4Row]]),TRIM(LEFT(Tasks[[#This Row],[_Res4Text]],FIND("[",Tasks[[#This Row],[_Res4Text]]&amp;"[")-1))))</f>
        <v/>
      </c>
      <c r="EB1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7" s="42" t="n">
        <f aca="false">IF(OR(NOT(Tasks[[#This Row],[_IsLeaf]]=1),Tasks[[#This Row],[_Res4Row]]=0),0,N(Tasks[[#This Row],[_Days]])*HoursPerDay*IF(Tasks[[#This Row],[_Res4Units]]="",DefaultUnits,Tasks[[#This Row],[_Res4Units]]))</f>
        <v>0</v>
      </c>
      <c r="ED197" s="42" t="n">
        <f aca="false">IF(AND(AND(Tasks[[#This Row],[_IsLeaf]]=1,Tasks[[#This Row],[_LeafTotalWork]]&gt;0),Tasks[[#This Row],[_Res4Work]]&gt;0),Tasks[[#This Row],[_Res4Work]]/(Tasks[[#This Row],[_FinishWorkday]]-Tasks[[#This Row],[_StartWorkday]]+1),0)</f>
        <v>0</v>
      </c>
      <c r="EE197" s="42" t="n">
        <f aca="false">Tasks[[#This Row],[_Res4WorkPerWD]]*MAX(0,Tasks[[#This Row],[_StartWorkday]]-1)</f>
        <v>0</v>
      </c>
      <c r="EF197" s="42" t="n">
        <f aca="false">Tasks[[#This Row],[_Res4Work]]*Tasks[[#This Row],[_LeafProgress]]</f>
        <v>0</v>
      </c>
      <c r="EG197" s="42" t="n">
        <f aca="false">IF(ISNUMBER(Tasks[[#This Row],[% Complete]]),Tasks[[#This Row],[% Complete]],IF(Tasks[[#This Row],[Stage]]="",0,IFERROR(INDEX(stg_Pct,MATCH(Tasks[[#This Row],[Stage]],stg_Name,0)),0)))</f>
        <v>0</v>
      </c>
      <c r="EH197" s="42" t="n">
        <f aca="false">IF(NOT(Tasks[[#This Row],[_IsLeaf]]=1),0,IF(N(Tasks[[#This Row],[Actual Finish]])&gt;0,1,MIN(1,Tasks[[#This Row],[_Pct]])))</f>
        <v>0</v>
      </c>
      <c r="EI197" s="42" t="n">
        <f aca="false">IF(OR(NOT(Tasks[[#This Row],[_IsLeaf]]=1),Tasks[[#This Row],[_Res1Row]]=0),0,N(Tasks[[#This Row],[_Days]])*HoursPerDay*IF(Tasks[[#This Row],[_Units1]]="",DefaultUnits,Tasks[[#This Row],[_Units1]]))</f>
        <v>0</v>
      </c>
      <c r="EJ197" s="42" t="n">
        <f aca="false">Tasks[[#This Row],[_LeafWork]]+Tasks[[#This Row],[_Res2Work]]+Tasks[[#This Row],[_Res3Work]]+Tasks[[#This Row],[_Res4Work]]</f>
        <v>0</v>
      </c>
      <c r="EK1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7" s="42" t="n">
        <f aca="false">IF(NOT(Tasks[[#This Row],[_IsLeaf]]=1),0,MAX(_xlfn.MAXIFS(Tasks[_Row],Tasks[_Pred1UID],Tasks[[#This Row],[UID]]),_xlfn.MAXIFS(Tasks[_Row],Tasks[_Pred2UID],Tasks[[#This Row],[UID]]),_xlfn.MAXIFS(Tasks[_Row],Tasks[_Pred3UID],Tasks[[#This Row],[UID]]),_xlfn.MAXIFS(Tasks[_Row],Tasks[_Pred4UID],Tasks[[#This Row],[UID]])))</f>
        <v>0</v>
      </c>
      <c r="ET1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7" s="89" t="str">
        <f aca="false">IF(NOT(Tasks[[#This Row],[_IsLeaf]]=1),"",IF(N(Tasks[[#This Row],[_Days]])&lt;=0,Tasks[[#This Row],[_LeafLateFinish]],WORKDAY.INTL(Tasks[[#This Row],[_LeafLateFinish]],-(Tasks[[#This Row],[_Days]]-1),WorkWeek,Holidays)))</f>
        <v/>
      </c>
      <c r="EW1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7" s="88" t="b">
        <f aca="false">AND(Tasks[[#This Row],[_IsLeaf]]=1,Tasks[[#This Row],[_LeafProgress]]&lt;1,N(Tasks[[#This Row],[_LeafTotalSlack]])&lt;=CriticalSlackDays)</f>
        <v>0</v>
      </c>
      <c r="EY197" s="42" t="n">
        <f aca="false">IF(AND(Tasks[[#This Row],[_IsLeaf]]=1,Tasks[[#This Row],[_ConstraintCode]]=1,Tasks[[#This Row],[Mode]]&lt;&gt;"Manual",N(Tasks[[#This Row],[Actual Start]])=0),MAX(0,N(Tasks[[#This Row],[Free Slack]])),0)</f>
        <v>0</v>
      </c>
      <c r="EZ197" s="89" t="str">
        <f aca="false">IF(NOT(Tasks[[#This Row],[_IsLeaf]]=1),"",IF(Tasks[[#This Row],[_AlapShift]]=0,Tasks[[#This Row],[_LeafCalcStart]],WORKDAY.INTL(Tasks[[#This Row],[_LeafCalcStart]],Tasks[[#This Row],[_AlapShift]],WorkWeek,Holidays)))</f>
        <v/>
      </c>
      <c r="FA197" s="89" t="str">
        <f aca="false">IF(NOT(Tasks[[#This Row],[_IsLeaf]]=1),"",IF(Tasks[[#This Row],[_AlapShift]]=0,Tasks[[#This Row],[_LeafCalcFinish]],WORKDAY.INTL(Tasks[[#This Row],[_LeafCalcFinish]],Tasks[[#This Row],[_AlapShift]],WorkWeek,Holidays)))</f>
        <v/>
      </c>
      <c r="FB197" s="89" t="str">
        <f aca="false">IF(NOT(Tasks[[#This Row],[_IsLeaf]]=1),"",IF(Tasks[[#This Row],[_AlapShift]]=0,Tasks[[#This Row],[_LeafFcstStart]],WORKDAY.INTL(Tasks[[#This Row],[_LeafFcstStart]],Tasks[[#This Row],[_AlapShift]],WorkWeek,Holidays)))</f>
        <v/>
      </c>
      <c r="FC197" s="89" t="str">
        <f aca="false">IF(NOT(Tasks[[#This Row],[_IsLeaf]]=1),"",IF(Tasks[[#This Row],[_AlapShift]]=0,Tasks[[#This Row],[_LeafFcstFinish]],WORKDAY.INTL(Tasks[[#This Row],[_LeafFcstFinish]],Tasks[[#This Row],[_AlapShift]],WorkWeek,Holidays)))</f>
        <v/>
      </c>
      <c r="FD197" s="89" t="str">
        <f aca="false">IF(Tasks[[#This Row],[Task Name]]="","",IF(Tasks[[#This Row],[_IsSummary]],MIN(INDEX(Tasks[_ShownCalcStart],Tasks[[#This Row],[_Row]]+1):INDEX(Tasks[_ShownCalcStart],Tasks[[#This Row],[_Row]]+Tasks[[#This Row],[_Descendants]])),Tasks[[#This Row],[_ShownCalcStart]]))</f>
        <v/>
      </c>
      <c r="FE197" s="89" t="str">
        <f aca="false">IF(Tasks[[#This Row],[Task Name]]="","",IF(Tasks[[#This Row],[_IsSummary]],MAX(INDEX(Tasks[_ShownCalcFinish],Tasks[[#This Row],[_Row]]+1):INDEX(Tasks[_ShownCalcFinish],Tasks[[#This Row],[_Row]]+Tasks[[#This Row],[_Descendants]])),Tasks[[#This Row],[_ShownCalcFinish]]))</f>
        <v/>
      </c>
      <c r="FF1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7" s="42" t="n">
        <f aca="false">IF(AND(Tasks[[#This Row],[_IsLeaf]]=1,Tasks[[#This Row],[_LeafTotalWork]]&gt;0),NETWORKDAYS.INTL(ProjectStart,Tasks[[#This Row],[_ShownFcstStart]],WorkWeek,Holidays),0)</f>
        <v>0</v>
      </c>
      <c r="FS197" s="42" t="n">
        <f aca="false">IF(AND(Tasks[[#This Row],[_IsLeaf]]=1,Tasks[[#This Row],[_LeafTotalWork]]&gt;0),MAX(Tasks[[#This Row],[_StartWorkday]],NETWORKDAYS.INTL(ProjectStart,Tasks[[#This Row],[_ShownFcstFinish]],WorkWeek,Holidays)),0)</f>
        <v>0</v>
      </c>
      <c r="FT197" s="42" t="n">
        <f aca="false">IF(AND(Tasks[[#This Row],[_IsLeaf]]=1,Tasks[[#This Row],[_LeafTotalWork]]&gt;0),Tasks[[#This Row],[_LeafWork]]/(Tasks[[#This Row],[_FinishWorkday]]-Tasks[[#This Row],[_StartWorkday]]+1),0)</f>
        <v>0</v>
      </c>
      <c r="FU197" s="42" t="n">
        <f aca="false">Tasks[[#This Row],[_WorkPerWorkday]]*(Tasks[[#This Row],[_StartWorkday]]-1)</f>
        <v>-0</v>
      </c>
      <c r="FV197" s="42" t="n">
        <f aca="false">IF(Tasks[[#This Row],[_IsLeaf]]=1,MAX(N(Tasks[[#This Row],[_Days]]),0.1),0)</f>
        <v>0</v>
      </c>
      <c r="FW197" s="42" t="n">
        <f aca="false">Tasks[[#This Row],[_WeightDur]]*Tasks[[#This Row],[_LeafProgress]]</f>
        <v>0</v>
      </c>
      <c r="FX197" s="42" t="n">
        <f aca="false">Tasks[[#This Row],[_WeightDur]]*Tasks[[#This Row],[_PlannedPct]]</f>
        <v>0</v>
      </c>
      <c r="FY1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7" s="42" t="str">
        <f aca="false">IF(AND(Tasks[[#This Row],[_IsLeaf]]=1,N(Tasks[[#This Row],[_Days]])=0,Tasks[[#This Row],[_LeafProgress]]&lt;1),Tasks[[#This Row],[_ShownFcstFinish]]+Tasks[[#This Row],[_Row]]/100000,"")</f>
        <v/>
      </c>
      <c r="GA1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7" s="42" t="str">
        <f aca="false">IF(Tasks[[#This Row],[Task Name]]="","",LEFT(Tasks[[#This Row],[WBS]],FIND(".",Tasks[[#This Row],[WBS]]&amp;".")-1))</f>
        <v/>
      </c>
      <c r="GC197" s="42" t="str">
        <f aca="false">IF(AND(Tasks[[#This Row],[Task Name]]&lt;&gt;"",Tasks[[#This Row],[_Level]]=1),Tasks[[#This Row],[_Row]],"")</f>
        <v/>
      </c>
      <c r="GD197" s="42" t="str">
        <f aca="false">IF(AND(Tasks[[#This Row],[_IsLeaf]]=1,N(Tasks[[#This Row],[_Days]])=0),Tasks[[#This Row],[Planned Finish]]+Tasks[[#This Row],[_Row]]/100000,"")</f>
        <v/>
      </c>
      <c r="GE197" s="42" t="str">
        <f aca="false">IF(AND(Tasks[[#This Row],[_IsLeaf]]=1,Tasks[[#This Row],[_LeafProgress]]&lt;1,OR(N(Tasks[[#This Row],[Finish Var]])&gt;0,Tasks[[#This Row],[Status]]="Late Start")),MAX(0,Tasks[[#This Row],[Finish Var]])+1-Tasks[[#This Row],[_Row]]/1000000,"")</f>
        <v/>
      </c>
      <c r="GF197" s="42" t="str">
        <f aca="false">IF(AND(Tasks[[#This Row],[_IsLeaf]]=1,N(Tasks[[#This Row],[Actual Start]])=0,Tasks[[#This Row],[_ShownFcstStart]]&gt;=StatusDate,Tasks[[#This Row],[_ShownFcstStart]]&lt;=LookaheadEnd),Tasks[[#This Row],[_ShownFcstStart]]+Tasks[[#This Row],[_Row]]/100000,"")</f>
        <v/>
      </c>
      <c r="GG197" s="42" t="str">
        <f aca="false">IF(AND(Tasks[[#This Row],[_IsLeaf]]=1,Tasks[[#This Row],[_LeafProgress]]&lt;1,Tasks[[#This Row],[_ShownFcstFinish]]&gt;=StatusDate,Tasks[[#This Row],[_ShownFcstFinish]]&lt;=LookaheadEnd),Tasks[[#This Row],[_ShownFcstFinish]]+Tasks[[#This Row],[_Row]]/100000,"")</f>
        <v/>
      </c>
      <c r="GH197" s="42" t="str">
        <f aca="false">IF(Tasks[[#This Row],[_LeafCritical]],Tasks[[#This Row],[_ShownFcstStart]]+Tasks[[#This Row],[_Row]]/100000,"")</f>
        <v/>
      </c>
      <c r="GI197" s="42" t="n">
        <f aca="false">Tasks[[#This Row],[_LeafWork]]*Tasks[[#This Row],[_LeafProgress]]</f>
        <v>0</v>
      </c>
      <c r="GJ197" s="89" t="str">
        <f aca="false">IF(AND(Tasks[[#This Row],[_IsLeaf]]=1,Tasks[[#This Row],[_LeafProgress]]&gt;=1),IF(N(Tasks[[#This Row],[Actual Finish]])&gt;0,Tasks[[#This Row],[Actual Finish]],Tasks[[#This Row],[_ShownFcstFinish]]),"")</f>
        <v/>
      </c>
      <c r="GK197" s="42" t="n">
        <f aca="false">IF(Tasks[[#This Row],[_IsLeaf]]=1,N(Tasks[[#This Row],[Story Points]]),0)</f>
        <v>0</v>
      </c>
      <c r="GL197" s="42" t="str">
        <f aca="false">""</f>
        <v/>
      </c>
      <c r="GM197" s="88" t="b">
        <f aca="false">IF(Tasks[[#This Row],[Task Name]]="",FALSE(),AND(Tasks[[#This Row],[_IsLeaf]]=1,N(Tasks[[#This Row],[_Days]])=0))</f>
        <v>0</v>
      </c>
      <c r="GN197" s="89" t="n">
        <f aca="false">IF(Tasks[[#This Row],[Task Name]]="",0,IF(AND(Tasks[[#This Row],[_IsLeaf]]=1,NOT(Tasks[[#This Row],[_IsMilestone]]),N(Tasks[[#This Row],[Progress]])&gt;0),Tasks[[#This Row],[Start]],0))</f>
        <v>0</v>
      </c>
      <c r="GO197" s="89" t="n">
        <f aca="false">IF(Tasks[[#This Row],[_DoneFrom]]=0,0,IF(Tasks[[#This Row],[Progress]]&gt;=1,Tasks[[#This Row],[Finish]],MAX(Tasks[[#This Row],[_DoneFrom]],Tasks[[#This Row],[Start]]+ROUND((Tasks[[#This Row],[Finish]]-Tasks[[#This Row],[Start]]+1)*Tasks[[#This Row],[Progress]],0)-1)))</f>
        <v>0</v>
      </c>
      <c r="GP197" s="89" t="n">
        <f aca="false">IF(Tasks[[#This Row],[Task Name]]="",0,IF(OR(NOT(Tasks[[#This Row],[_IsLeaf]]=1),Tasks[[#This Row],[_IsMilestone]],N(Tasks[[#This Row],[Progress]])&gt;=1),0,IF(Tasks[[#This Row],[_DoneTo]]&gt;0,Tasks[[#This Row],[_DoneTo]]+1,Tasks[[#This Row],[Start]])))</f>
        <v>0</v>
      </c>
      <c r="GQ197" s="89" t="n">
        <f aca="false">IF(Tasks[[#This Row],[_RemFrom]]=0,0,Tasks[[#This Row],[Finish]])</f>
        <v>0</v>
      </c>
      <c r="GR197" s="88" t="b">
        <f aca="false">IF(Tasks[[#This Row],[Task Name]]="",FALSE(),OR(NOT(BaselineSet),N(Tasks[[#This Row],[Baseline Start]])&gt;0))</f>
        <v>0</v>
      </c>
      <c r="GS1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7" s="90" t="str">
        <f aca="false">IF(Tasks[[#This Row],[_IsLeaf]]=1,Tasks[[#This Row],[_Row]],"")</f>
        <v/>
      </c>
      <c r="GW197" s="90" t="str">
        <f aca="false">IFERROR(INDEX(Tasks[UID],SMALL(Tasks[_PickKey],Tasks[[#This Row],[_Row]]))&amp;" "&amp;INDEX(Tasks[Task Name],SMALL(Tasks[_PickKey],Tasks[[#This Row],[_Row]])),"")</f>
        <v/>
      </c>
      <c r="GX197" s="42" t="str">
        <f aca="false">IF(Tasks[[#This Row],[Task Name]]="","",IF(Tasks[[#This Row],[_IsSummary]],NETWORKDAYS.INTL(Tasks[[#This Row],[Start]],Tasks[[#This Row],[Finish]],WorkWeek,Holidays),N(Tasks[[#This Row],[_Days]])))</f>
        <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3"/>
      <c r="U198" s="23"/>
      <c r="V198" s="83"/>
      <c r="W198" s="23"/>
      <c r="X198" s="83"/>
      <c r="Y198" s="23"/>
      <c r="Z198" s="83"/>
      <c r="AA198" s="23"/>
      <c r="AB198" s="23"/>
      <c r="AC198" s="7"/>
      <c r="AD198" s="7"/>
      <c r="AE198" s="62" t="str">
        <f aca="false">IF(Tasks[[#This Row],[Task Name]]="","",IF(Tasks[[#This Row],[_IsSummary]],MIN(INDEX(Tasks[_ShownFcstStart],Tasks[[#This Row],[_Row]]+1):INDEX(Tasks[_ShownFcstStart],Tasks[[#This Row],[_Row]]+Tasks[[#This Row],[_Descendants]])),Tasks[[#This Row],[_ShownFcstStart]]))</f>
        <v/>
      </c>
      <c r="AF198" s="62"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8" s="7"/>
      <c r="AK198" s="22"/>
      <c r="AL198" s="23"/>
      <c r="AM198" s="7"/>
      <c r="AN198" s="46"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2" t="str">
        <f aca="false">IF(Tasks[[#This Row],[Task Name]]="","",IF(N(Tasks[[#This Row],[Baseline Start]])&gt;0,Tasks[[#This Row],[Baseline Start]],Tasks[[#This Row],[_CalcStart]]))</f>
        <v/>
      </c>
      <c r="AR198" s="62" t="str">
        <f aca="false">IF(Tasks[[#This Row],[Task Name]]="","",IF(N(Tasks[[#This Row],[Baseline Finish]])&gt;0,Tasks[[#This Row],[Baseline Finish]],Tasks[[#This Row],[_CalcFinish]]))</f>
        <v/>
      </c>
      <c r="AS198" s="46" t="str">
        <f aca="false">IF(Tasks[[#This Row],[Task Name]]="","",IF(Tasks[[#This Row],[Start]]&gt;=Tasks[[#This Row],[Planned Start]],NETWORKDAYS.INTL(Tasks[[#This Row],[Planned Start]],Tasks[[#This Row],[Start]],WorkWeek,Holidays)-1,1-NETWORKDAYS.INTL(Tasks[[#This Row],[Start]],Tasks[[#This Row],[Planned Start]],WorkWeek,Holidays)))</f>
        <v/>
      </c>
      <c r="AT198" s="62" t="str">
        <f aca="false">IF(Tasks[[#This Row],[Task Name]]="","",IF(Tasks[[#This Row],[_IsSummary]],MIN(INDEX(Tasks[_LeafLateStart],Tasks[[#This Row],[_Row]]+1):INDEX(Tasks[_LeafLateStart],Tasks[[#This Row],[_Row]]+Tasks[[#This Row],[_Descendants]])),Tasks[[#This Row],[_LeafLateStart]]))</f>
        <v/>
      </c>
      <c r="AU198" s="62" t="str">
        <f aca="false">IF(Tasks[[#This Row],[Task Name]]="","",IF(Tasks[[#This Row],[_IsSummary]],MAX(INDEX(Tasks[_LeafLateFinish],Tasks[[#This Row],[_Row]]+1):INDEX(Tasks[_LeafLateFinish],Tasks[[#This Row],[_Row]]+Tasks[[#This Row],[_Descendants]])),Tasks[[#This Row],[_LeafLateFinish]]))</f>
        <v/>
      </c>
      <c r="AV198" s="46"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4"/>
      <c r="BA1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5"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6"/>
      <c r="BJ198" s="22"/>
      <c r="BK198" s="46" t="str">
        <f aca="false">IF(OR(Tasks[[#This Row],[Task Name]]="",Tasks[[#This Row],[Baseline Duration]]=""),"",Tasks[[#This Row],[_SpanDays]]-N(Tasks[[#This Row],[Baseline Duration]]))</f>
        <v/>
      </c>
      <c r="BL198" s="85" t="str">
        <f aca="false">IF(OR(Tasks[[#This Row],[Task Name]]="",Tasks[[#This Row],[Baseline Work]]=""),"",Tasks[[#This Row],[Work]]-N(Tasks[[#This Row],[Baseline Work]]))</f>
        <v/>
      </c>
      <c r="BM198" s="62" t="str">
        <f aca="false">IF(Tasks[[#This Row],[Task Name]]="","",IF(OR(TakeBaseline="Yes",N(Tasks[[#This Row],[Baseline Start]])=0),Tasks[[#This Row],[Start]],Tasks[[#This Row],[Baseline Start]]))</f>
        <v/>
      </c>
      <c r="BN198" s="62"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5" t="str">
        <f aca="false">IF(Tasks[[#This Row],[Task Name]]="","",IF(OR(TakeBaseline="Yes",N(Tasks[[#This Row],[Baseline Work]])=0),Tasks[[#This Row],[Work]],Tasks[[#This Row],[Baseline Work]]))</f>
        <v/>
      </c>
      <c r="BQ198" s="7"/>
      <c r="BR198" s="7"/>
      <c r="BS198" s="22"/>
      <c r="BT198" s="87"/>
      <c r="BU198" s="42" t="str">
        <f aca="false">IF(Tasks[[#This Row],[Task Name]]="","",MAX(1,N(Tasks[[#This Row],[Level]])))</f>
        <v/>
      </c>
      <c r="BV198" s="42" t="n">
        <f aca="false">ROW()-ROW(Tasks[[#Headers],[ID]])</f>
        <v>193</v>
      </c>
      <c r="BW198" s="42" t="n">
        <f aca="false">IF(OR(Tasks[[#This Row],[Task Name]]="",Tasks[[#This Row],[_Level]]&lt;=1),0,IFERROR(LOOKUP(2,1/(Tasks[[#Headers],[_Level]]:Tasks[[#This Row],[_Level]]=Tasks[[#This Row],[_Level]]-1),ROW(Tasks[[#Headers],[_Level]]:Tasks[[#This Row],[_Level]])),0))</f>
        <v>0</v>
      </c>
      <c r="BX198" s="42" t="n">
        <f aca="false">IFERROR(N(INDEX(Tasks[_Level],Tasks[[#This Row],[_Row]]+1)),0)</f>
        <v>0</v>
      </c>
      <c r="BY198" s="88" t="b">
        <f aca="false">AND(Tasks[[#This Row],[Task Name]]&lt;&gt;"",Tasks[[#This Row],[_NextLevel]]&gt;Tasks[[#This Row],[_Level]])</f>
        <v>0</v>
      </c>
      <c r="BZ198" s="42" t="n">
        <f aca="false">IF(Tasks[[#This Row],[_IsSummary]],COUNTIF(Tasks[WBS],Tasks[[#This Row],[WBS]]&amp;".*"),0)</f>
        <v>0</v>
      </c>
      <c r="CA198" s="42" t="n">
        <f aca="false">IF(AND(Tasks[[#This Row],[Task Name]]&lt;&gt;"",NOT(Tasks[[#This Row],[_IsSummary]])),1,0)</f>
        <v>0</v>
      </c>
      <c r="CB198" s="42" t="n">
        <f aca="false">IF(N(Tasks[[#This Row],[_Pred1UID]])=0,0,IFERROR(MATCH(Tasks[[#This Row],[_Pred1UID]],Tasks[UID],0),-1))</f>
        <v>0</v>
      </c>
      <c r="CC198" s="42" t="n">
        <f aca="false">IF(N(Tasks[[#This Row],[_Pred2UID]])=0,0,IFERROR(MATCH(Tasks[[#This Row],[_Pred2UID]],Tasks[UID],0),-1))</f>
        <v>0</v>
      </c>
      <c r="CD198" s="42" t="n">
        <f aca="false">IF(N(Tasks[[#This Row],[_Pred3UID]])=0,0,IFERROR(MATCH(Tasks[[#This Row],[_Pred3UID]],Tasks[UID],0),-1))</f>
        <v>0</v>
      </c>
      <c r="CE198" s="42" t="n">
        <f aca="false">IF(N(Tasks[[#This Row],[_Pred4UID]])=0,0,IFERROR(MATCH(Tasks[[#This Row],[_Pred4UID]],Tasks[UID],0),-1))</f>
        <v>0</v>
      </c>
      <c r="CF1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8" s="89" t="n">
        <f aca="false">IF(OR(Tasks[[#This Row],[_ConstraintCode]]=2,Tasks[[#This Row],[_ConstraintCode]]=3,Tasks[[#This Row],[_ConstraintCode]]=4,Tasks[[#This Row],[_ConstraintCode]]=6),Tasks[[#This Row],[_ConstraintStart]],0)</f>
        <v>0</v>
      </c>
      <c r="CI198" s="89" t="n">
        <f aca="false">IF(OR(Tasks[[#This Row],[_ConstraintCode]]=2,Tasks[[#This Row],[_ConstraintCode]]=3,Tasks[[#This Row],[_ConstraintCode]]=5,Tasks[[#This Row],[_ConstraintCode]]=7),Tasks[[#This Row],[_ConstraintStart]],2958465)</f>
        <v>2958465</v>
      </c>
      <c r="CJ1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8" s="89" t="str">
        <f aca="false">IF(NOT(Tasks[[#This Row],[_IsLeaf]]=1),"",IF(N(Tasks[[#This Row],[_Days]])&lt;=0,Tasks[[#This Row],[_LeafCalcStart]],WORKDAY.INTL(Tasks[[#This Row],[_LeafCalcStart]],Tasks[[#This Row],[_Days]]-1,WorkWeek,Holidays)))</f>
        <v/>
      </c>
      <c r="CL1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8" s="42" t="str">
        <f aca="false">IF(Tasks[[#This Row],[_Predecessors]]="","",TRIM(MID(SUBSTITUTE(SUBSTITUTE(SUBSTITUTE(UPPER(Tasks[[#This Row],[_Predecessors]]),";",",")," ",""),",",REPT(" ",99)),1,99)))</f>
        <v/>
      </c>
      <c r="CO198" s="42" t="str">
        <f aca="false">IF(Tasks[[#This Row],[_Pred1Text]]="","",IFERROR(VALUE(LEFT(Tasks[[#This Row],[_Pred1Text]],MIN(FIND("F",Tasks[[#This Row],[_Pred1Text]]&amp;"F"),FIND("S",Tasks[[#This Row],[_Pred1Text]]&amp;"S"),FIND("+",Tasks[[#This Row],[_Pred1Text]]&amp;"+"),FIND("-",Tasks[[#This Row],[_Pred1Text]]&amp;"-"))-1)),""))</f>
        <v/>
      </c>
      <c r="CP1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8" s="42" t="str">
        <f aca="false">IF(Tasks[[#This Row],[_Pred1Text]]="","",TRIM(MID(SUBSTITUTE(SUBSTITUTE(SUBSTITUTE(UPPER(Tasks[[#This Row],[_Predecessors]]),";",",")," ",""),",",REPT(" ",99)),100,99)))</f>
        <v/>
      </c>
      <c r="CS198" s="42" t="str">
        <f aca="false">IF(Tasks[[#This Row],[_Pred2Text]]="","",IFERROR(VALUE(LEFT(Tasks[[#This Row],[_Pred2Text]],MIN(FIND("F",Tasks[[#This Row],[_Pred2Text]]&amp;"F"),FIND("S",Tasks[[#This Row],[_Pred2Text]]&amp;"S"),FIND("+",Tasks[[#This Row],[_Pred2Text]]&amp;"+"),FIND("-",Tasks[[#This Row],[_Pred2Text]]&amp;"-"))-1)),""))</f>
        <v/>
      </c>
      <c r="CT1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8" s="42" t="str">
        <f aca="false">IF(Tasks[[#This Row],[_Pred2Text]]="","",TRIM(MID(SUBSTITUTE(SUBSTITUTE(SUBSTITUTE(UPPER(Tasks[[#This Row],[_Predecessors]]),";",",")," ",""),",",REPT(" ",99)),199,99)))</f>
        <v/>
      </c>
      <c r="CW198" s="42" t="str">
        <f aca="false">IF(Tasks[[#This Row],[_Pred3Text]]="","",IFERROR(VALUE(LEFT(Tasks[[#This Row],[_Pred3Text]],MIN(FIND("F",Tasks[[#This Row],[_Pred3Text]]&amp;"F"),FIND("S",Tasks[[#This Row],[_Pred3Text]]&amp;"S"),FIND("+",Tasks[[#This Row],[_Pred3Text]]&amp;"+"),FIND("-",Tasks[[#This Row],[_Pred3Text]]&amp;"-"))-1)),""))</f>
        <v/>
      </c>
      <c r="CX1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8" s="42" t="str">
        <f aca="false">IF(Tasks[[#This Row],[_Pred3Text]]="","",TRIM(MID(SUBSTITUTE(SUBSTITUTE(SUBSTITUTE(UPPER(Tasks[[#This Row],[_Predecessors]]),";",",")," ",""),",",REPT(" ",99)),298,99)))</f>
        <v/>
      </c>
      <c r="DA198" s="42" t="str">
        <f aca="false">IF(Tasks[[#This Row],[_Pred4Text]]="","",IFERROR(VALUE(LEFT(Tasks[[#This Row],[_Pred4Text]],MIN(FIND("F",Tasks[[#This Row],[_Pred4Text]]&amp;"F"),FIND("S",Tasks[[#This Row],[_Pred4Text]]&amp;"S"),FIND("+",Tasks[[#This Row],[_Pred4Text]]&amp;"+"),FIND("-",Tasks[[#This Row],[_Pred4Text]]&amp;"-"))-1)),""))</f>
        <v/>
      </c>
      <c r="DB1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8" s="42" t="str">
        <f aca="false">IF(OR(Tasks[[#This Row],[Task Name]]="",Tasks[[#This Row],[_Resources]]=""),"",TRIM(MID(SUBSTITUTE(Tasks[[#This Row],[_Resources]],",",REPT(" ",99)),1,99)))</f>
        <v/>
      </c>
      <c r="DE198" s="42" t="str">
        <f aca="false">IF(Tasks[[#This Row],[_Res1Text]]="","",TRIM(MID(SUBSTITUTE(Tasks[[#This Row],[_Resources]],",",REPT(" ",99)),100,99)))</f>
        <v/>
      </c>
      <c r="DF198" s="42" t="str">
        <f aca="false">IF(Tasks[[#This Row],[_Res2Text]]="","",TRIM(MID(SUBSTITUTE(Tasks[[#This Row],[_Resources]],",",REPT(" ",99)),199,99)))</f>
        <v/>
      </c>
      <c r="DG198" s="42" t="str">
        <f aca="false">IF(Tasks[[#This Row],[_Res3Text]]="","",TRIM(MID(SUBSTITUTE(Tasks[[#This Row],[_Resources]],",",REPT(" ",99)),298,99)))</f>
        <v/>
      </c>
      <c r="DH198" s="42" t="n">
        <f aca="false">IF(Tasks[[#This Row],[_Res1Text]]="",0,IFERROR(MATCH(TRIM(LEFT(Tasks[[#This Row],[_Res1Text]],FIND("[",Tasks[[#This Row],[_Res1Text]]&amp;"[")-1)),res_Name,0),IFERROR(MATCH(TRIM(LEFT(Tasks[[#This Row],[_Res1Text]],FIND("[",Tasks[[#This Row],[_Res1Text]]&amp;"[")-1)),res_Initials,0),0)))</f>
        <v>0</v>
      </c>
      <c r="DI198" s="42" t="n">
        <f aca="false">IF(Tasks[[#This Row],[_Res2Text]]="",0,IFERROR(MATCH(TRIM(LEFT(Tasks[[#This Row],[_Res2Text]],FIND("[",Tasks[[#This Row],[_Res2Text]]&amp;"[")-1)),res_Name,0),IFERROR(MATCH(TRIM(LEFT(Tasks[[#This Row],[_Res2Text]],FIND("[",Tasks[[#This Row],[_Res2Text]]&amp;"[")-1)),res_Initials,0),0)))</f>
        <v>0</v>
      </c>
      <c r="DJ198" s="42" t="n">
        <f aca="false">IF(Tasks[[#This Row],[_Res3Text]]="",0,IFERROR(MATCH(TRIM(LEFT(Tasks[[#This Row],[_Res3Text]],FIND("[",Tasks[[#This Row],[_Res3Text]]&amp;"[")-1)),res_Name,0),IFERROR(MATCH(TRIM(LEFT(Tasks[[#This Row],[_Res3Text]],FIND("[",Tasks[[#This Row],[_Res3Text]]&amp;"[")-1)),res_Initials,0),0)))</f>
        <v>0</v>
      </c>
      <c r="DK198" s="42" t="n">
        <f aca="false">IF(Tasks[[#This Row],[_Res4Text]]="",0,IFERROR(MATCH(TRIM(LEFT(Tasks[[#This Row],[_Res4Text]],FIND("[",Tasks[[#This Row],[_Res4Text]]&amp;"[")-1)),res_Name,0),IFERROR(MATCH(TRIM(LEFT(Tasks[[#This Row],[_Res4Text]],FIND("[",Tasks[[#This Row],[_Res4Text]]&amp;"[")-1)),res_Initials,0),0)))</f>
        <v>0</v>
      </c>
      <c r="DL198" s="42" t="str">
        <f aca="false">IF(Tasks[[#This Row],[_Res1Text]]="","",IF(Tasks[[#This Row],[_Res1Row]]&gt;0,INDEX(res_Name,Tasks[[#This Row],[_Res1Row]]),TRIM(LEFT(Tasks[[#This Row],[_Res1Text]],FIND("[",Tasks[[#This Row],[_Res1Text]]&amp;"[")-1))))</f>
        <v/>
      </c>
      <c r="DM1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8" s="42" t="n">
        <f aca="false">IF(NOT(Tasks[[#This Row],[_IsLeaf]]=1),0,(Tasks[[#This Row],[_Resource1]]&lt;&gt;"")+(Tasks[[#This Row],[_Res2]]&lt;&gt;"")+(Tasks[[#This Row],[_Res3]]&lt;&gt;"")+(Tasks[[#This Row],[_Res4]]&lt;&gt;""))</f>
        <v>0</v>
      </c>
      <c r="DO198" s="42" t="str">
        <f aca="false">IF(Tasks[[#This Row],[_Res2Text]]="","",IF(Tasks[[#This Row],[_Res2Row]]&gt;0,INDEX(res_Name,Tasks[[#This Row],[_Res2Row]]),TRIM(LEFT(Tasks[[#This Row],[_Res2Text]],FIND("[",Tasks[[#This Row],[_Res2Text]]&amp;"[")-1))))</f>
        <v/>
      </c>
      <c r="DP1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8" s="42" t="n">
        <f aca="false">IF(OR(NOT(Tasks[[#This Row],[_IsLeaf]]=1),Tasks[[#This Row],[_Res2Row]]=0),0,N(Tasks[[#This Row],[_Days]])*HoursPerDay*IF(Tasks[[#This Row],[_Res2Units]]="",DefaultUnits,Tasks[[#This Row],[_Res2Units]]))</f>
        <v>0</v>
      </c>
      <c r="DR198" s="42" t="n">
        <f aca="false">IF(AND(AND(Tasks[[#This Row],[_IsLeaf]]=1,Tasks[[#This Row],[_LeafTotalWork]]&gt;0),Tasks[[#This Row],[_Res2Work]]&gt;0),Tasks[[#This Row],[_Res2Work]]/(Tasks[[#This Row],[_FinishWorkday]]-Tasks[[#This Row],[_StartWorkday]]+1),0)</f>
        <v>0</v>
      </c>
      <c r="DS198" s="42" t="n">
        <f aca="false">Tasks[[#This Row],[_Res2WorkPerWD]]*MAX(0,Tasks[[#This Row],[_StartWorkday]]-1)</f>
        <v>0</v>
      </c>
      <c r="DT198" s="42" t="n">
        <f aca="false">Tasks[[#This Row],[_Res2Work]]*Tasks[[#This Row],[_LeafProgress]]</f>
        <v>0</v>
      </c>
      <c r="DU198" s="42" t="str">
        <f aca="false">IF(Tasks[[#This Row],[_Res3Text]]="","",IF(Tasks[[#This Row],[_Res3Row]]&gt;0,INDEX(res_Name,Tasks[[#This Row],[_Res3Row]]),TRIM(LEFT(Tasks[[#This Row],[_Res3Text]],FIND("[",Tasks[[#This Row],[_Res3Text]]&amp;"[")-1))))</f>
        <v/>
      </c>
      <c r="DV1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8" s="42" t="n">
        <f aca="false">IF(OR(NOT(Tasks[[#This Row],[_IsLeaf]]=1),Tasks[[#This Row],[_Res3Row]]=0),0,N(Tasks[[#This Row],[_Days]])*HoursPerDay*IF(Tasks[[#This Row],[_Res3Units]]="",DefaultUnits,Tasks[[#This Row],[_Res3Units]]))</f>
        <v>0</v>
      </c>
      <c r="DX198" s="42" t="n">
        <f aca="false">IF(AND(AND(Tasks[[#This Row],[_IsLeaf]]=1,Tasks[[#This Row],[_LeafTotalWork]]&gt;0),Tasks[[#This Row],[_Res3Work]]&gt;0),Tasks[[#This Row],[_Res3Work]]/(Tasks[[#This Row],[_FinishWorkday]]-Tasks[[#This Row],[_StartWorkday]]+1),0)</f>
        <v>0</v>
      </c>
      <c r="DY198" s="42" t="n">
        <f aca="false">Tasks[[#This Row],[_Res3WorkPerWD]]*MAX(0,Tasks[[#This Row],[_StartWorkday]]-1)</f>
        <v>0</v>
      </c>
      <c r="DZ198" s="42" t="n">
        <f aca="false">Tasks[[#This Row],[_Res3Work]]*Tasks[[#This Row],[_LeafProgress]]</f>
        <v>0</v>
      </c>
      <c r="EA198" s="42" t="str">
        <f aca="false">IF(Tasks[[#This Row],[_Res4Text]]="","",IF(Tasks[[#This Row],[_Res4Row]]&gt;0,INDEX(res_Name,Tasks[[#This Row],[_Res4Row]]),TRIM(LEFT(Tasks[[#This Row],[_Res4Text]],FIND("[",Tasks[[#This Row],[_Res4Text]]&amp;"[")-1))))</f>
        <v/>
      </c>
      <c r="EB1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8" s="42" t="n">
        <f aca="false">IF(OR(NOT(Tasks[[#This Row],[_IsLeaf]]=1),Tasks[[#This Row],[_Res4Row]]=0),0,N(Tasks[[#This Row],[_Days]])*HoursPerDay*IF(Tasks[[#This Row],[_Res4Units]]="",DefaultUnits,Tasks[[#This Row],[_Res4Units]]))</f>
        <v>0</v>
      </c>
      <c r="ED198" s="42" t="n">
        <f aca="false">IF(AND(AND(Tasks[[#This Row],[_IsLeaf]]=1,Tasks[[#This Row],[_LeafTotalWork]]&gt;0),Tasks[[#This Row],[_Res4Work]]&gt;0),Tasks[[#This Row],[_Res4Work]]/(Tasks[[#This Row],[_FinishWorkday]]-Tasks[[#This Row],[_StartWorkday]]+1),0)</f>
        <v>0</v>
      </c>
      <c r="EE198" s="42" t="n">
        <f aca="false">Tasks[[#This Row],[_Res4WorkPerWD]]*MAX(0,Tasks[[#This Row],[_StartWorkday]]-1)</f>
        <v>0</v>
      </c>
      <c r="EF198" s="42" t="n">
        <f aca="false">Tasks[[#This Row],[_Res4Work]]*Tasks[[#This Row],[_LeafProgress]]</f>
        <v>0</v>
      </c>
      <c r="EG198" s="42" t="n">
        <f aca="false">IF(ISNUMBER(Tasks[[#This Row],[% Complete]]),Tasks[[#This Row],[% Complete]],IF(Tasks[[#This Row],[Stage]]="",0,IFERROR(INDEX(stg_Pct,MATCH(Tasks[[#This Row],[Stage]],stg_Name,0)),0)))</f>
        <v>0</v>
      </c>
      <c r="EH198" s="42" t="n">
        <f aca="false">IF(NOT(Tasks[[#This Row],[_IsLeaf]]=1),0,IF(N(Tasks[[#This Row],[Actual Finish]])&gt;0,1,MIN(1,Tasks[[#This Row],[_Pct]])))</f>
        <v>0</v>
      </c>
      <c r="EI198" s="42" t="n">
        <f aca="false">IF(OR(NOT(Tasks[[#This Row],[_IsLeaf]]=1),Tasks[[#This Row],[_Res1Row]]=0),0,N(Tasks[[#This Row],[_Days]])*HoursPerDay*IF(Tasks[[#This Row],[_Units1]]="",DefaultUnits,Tasks[[#This Row],[_Units1]]))</f>
        <v>0</v>
      </c>
      <c r="EJ198" s="42" t="n">
        <f aca="false">Tasks[[#This Row],[_LeafWork]]+Tasks[[#This Row],[_Res2Work]]+Tasks[[#This Row],[_Res3Work]]+Tasks[[#This Row],[_Res4Work]]</f>
        <v>0</v>
      </c>
      <c r="EK1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8" s="42" t="n">
        <f aca="false">IF(NOT(Tasks[[#This Row],[_IsLeaf]]=1),0,MAX(_xlfn.MAXIFS(Tasks[_Row],Tasks[_Pred1UID],Tasks[[#This Row],[UID]]),_xlfn.MAXIFS(Tasks[_Row],Tasks[_Pred2UID],Tasks[[#This Row],[UID]]),_xlfn.MAXIFS(Tasks[_Row],Tasks[_Pred3UID],Tasks[[#This Row],[UID]]),_xlfn.MAXIFS(Tasks[_Row],Tasks[_Pred4UID],Tasks[[#This Row],[UID]])))</f>
        <v>0</v>
      </c>
      <c r="ET1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8" s="89" t="str">
        <f aca="false">IF(NOT(Tasks[[#This Row],[_IsLeaf]]=1),"",IF(N(Tasks[[#This Row],[_Days]])&lt;=0,Tasks[[#This Row],[_LeafLateFinish]],WORKDAY.INTL(Tasks[[#This Row],[_LeafLateFinish]],-(Tasks[[#This Row],[_Days]]-1),WorkWeek,Holidays)))</f>
        <v/>
      </c>
      <c r="EW1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8" s="88" t="b">
        <f aca="false">AND(Tasks[[#This Row],[_IsLeaf]]=1,Tasks[[#This Row],[_LeafProgress]]&lt;1,N(Tasks[[#This Row],[_LeafTotalSlack]])&lt;=CriticalSlackDays)</f>
        <v>0</v>
      </c>
      <c r="EY198" s="42" t="n">
        <f aca="false">IF(AND(Tasks[[#This Row],[_IsLeaf]]=1,Tasks[[#This Row],[_ConstraintCode]]=1,Tasks[[#This Row],[Mode]]&lt;&gt;"Manual",N(Tasks[[#This Row],[Actual Start]])=0),MAX(0,N(Tasks[[#This Row],[Free Slack]])),0)</f>
        <v>0</v>
      </c>
      <c r="EZ198" s="89" t="str">
        <f aca="false">IF(NOT(Tasks[[#This Row],[_IsLeaf]]=1),"",IF(Tasks[[#This Row],[_AlapShift]]=0,Tasks[[#This Row],[_LeafCalcStart]],WORKDAY.INTL(Tasks[[#This Row],[_LeafCalcStart]],Tasks[[#This Row],[_AlapShift]],WorkWeek,Holidays)))</f>
        <v/>
      </c>
      <c r="FA198" s="89" t="str">
        <f aca="false">IF(NOT(Tasks[[#This Row],[_IsLeaf]]=1),"",IF(Tasks[[#This Row],[_AlapShift]]=0,Tasks[[#This Row],[_LeafCalcFinish]],WORKDAY.INTL(Tasks[[#This Row],[_LeafCalcFinish]],Tasks[[#This Row],[_AlapShift]],WorkWeek,Holidays)))</f>
        <v/>
      </c>
      <c r="FB198" s="89" t="str">
        <f aca="false">IF(NOT(Tasks[[#This Row],[_IsLeaf]]=1),"",IF(Tasks[[#This Row],[_AlapShift]]=0,Tasks[[#This Row],[_LeafFcstStart]],WORKDAY.INTL(Tasks[[#This Row],[_LeafFcstStart]],Tasks[[#This Row],[_AlapShift]],WorkWeek,Holidays)))</f>
        <v/>
      </c>
      <c r="FC198" s="89" t="str">
        <f aca="false">IF(NOT(Tasks[[#This Row],[_IsLeaf]]=1),"",IF(Tasks[[#This Row],[_AlapShift]]=0,Tasks[[#This Row],[_LeafFcstFinish]],WORKDAY.INTL(Tasks[[#This Row],[_LeafFcstFinish]],Tasks[[#This Row],[_AlapShift]],WorkWeek,Holidays)))</f>
        <v/>
      </c>
      <c r="FD198" s="89" t="str">
        <f aca="false">IF(Tasks[[#This Row],[Task Name]]="","",IF(Tasks[[#This Row],[_IsSummary]],MIN(INDEX(Tasks[_ShownCalcStart],Tasks[[#This Row],[_Row]]+1):INDEX(Tasks[_ShownCalcStart],Tasks[[#This Row],[_Row]]+Tasks[[#This Row],[_Descendants]])),Tasks[[#This Row],[_ShownCalcStart]]))</f>
        <v/>
      </c>
      <c r="FE198" s="89" t="str">
        <f aca="false">IF(Tasks[[#This Row],[Task Name]]="","",IF(Tasks[[#This Row],[_IsSummary]],MAX(INDEX(Tasks[_ShownCalcFinish],Tasks[[#This Row],[_Row]]+1):INDEX(Tasks[_ShownCalcFinish],Tasks[[#This Row],[_Row]]+Tasks[[#This Row],[_Descendants]])),Tasks[[#This Row],[_ShownCalcFinish]]))</f>
        <v/>
      </c>
      <c r="FF1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8" s="42" t="n">
        <f aca="false">IF(AND(Tasks[[#This Row],[_IsLeaf]]=1,Tasks[[#This Row],[_LeafTotalWork]]&gt;0),NETWORKDAYS.INTL(ProjectStart,Tasks[[#This Row],[_ShownFcstStart]],WorkWeek,Holidays),0)</f>
        <v>0</v>
      </c>
      <c r="FS198" s="42" t="n">
        <f aca="false">IF(AND(Tasks[[#This Row],[_IsLeaf]]=1,Tasks[[#This Row],[_LeafTotalWork]]&gt;0),MAX(Tasks[[#This Row],[_StartWorkday]],NETWORKDAYS.INTL(ProjectStart,Tasks[[#This Row],[_ShownFcstFinish]],WorkWeek,Holidays)),0)</f>
        <v>0</v>
      </c>
      <c r="FT198" s="42" t="n">
        <f aca="false">IF(AND(Tasks[[#This Row],[_IsLeaf]]=1,Tasks[[#This Row],[_LeafTotalWork]]&gt;0),Tasks[[#This Row],[_LeafWork]]/(Tasks[[#This Row],[_FinishWorkday]]-Tasks[[#This Row],[_StartWorkday]]+1),0)</f>
        <v>0</v>
      </c>
      <c r="FU198" s="42" t="n">
        <f aca="false">Tasks[[#This Row],[_WorkPerWorkday]]*(Tasks[[#This Row],[_StartWorkday]]-1)</f>
        <v>-0</v>
      </c>
      <c r="FV198" s="42" t="n">
        <f aca="false">IF(Tasks[[#This Row],[_IsLeaf]]=1,MAX(N(Tasks[[#This Row],[_Days]]),0.1),0)</f>
        <v>0</v>
      </c>
      <c r="FW198" s="42" t="n">
        <f aca="false">Tasks[[#This Row],[_WeightDur]]*Tasks[[#This Row],[_LeafProgress]]</f>
        <v>0</v>
      </c>
      <c r="FX198" s="42" t="n">
        <f aca="false">Tasks[[#This Row],[_WeightDur]]*Tasks[[#This Row],[_PlannedPct]]</f>
        <v>0</v>
      </c>
      <c r="FY1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8" s="42" t="str">
        <f aca="false">IF(AND(Tasks[[#This Row],[_IsLeaf]]=1,N(Tasks[[#This Row],[_Days]])=0,Tasks[[#This Row],[_LeafProgress]]&lt;1),Tasks[[#This Row],[_ShownFcstFinish]]+Tasks[[#This Row],[_Row]]/100000,"")</f>
        <v/>
      </c>
      <c r="GA1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8" s="42" t="str">
        <f aca="false">IF(Tasks[[#This Row],[Task Name]]="","",LEFT(Tasks[[#This Row],[WBS]],FIND(".",Tasks[[#This Row],[WBS]]&amp;".")-1))</f>
        <v/>
      </c>
      <c r="GC198" s="42" t="str">
        <f aca="false">IF(AND(Tasks[[#This Row],[Task Name]]&lt;&gt;"",Tasks[[#This Row],[_Level]]=1),Tasks[[#This Row],[_Row]],"")</f>
        <v/>
      </c>
      <c r="GD198" s="42" t="str">
        <f aca="false">IF(AND(Tasks[[#This Row],[_IsLeaf]]=1,N(Tasks[[#This Row],[_Days]])=0),Tasks[[#This Row],[Planned Finish]]+Tasks[[#This Row],[_Row]]/100000,"")</f>
        <v/>
      </c>
      <c r="GE198" s="42" t="str">
        <f aca="false">IF(AND(Tasks[[#This Row],[_IsLeaf]]=1,Tasks[[#This Row],[_LeafProgress]]&lt;1,OR(N(Tasks[[#This Row],[Finish Var]])&gt;0,Tasks[[#This Row],[Status]]="Late Start")),MAX(0,Tasks[[#This Row],[Finish Var]])+1-Tasks[[#This Row],[_Row]]/1000000,"")</f>
        <v/>
      </c>
      <c r="GF198" s="42" t="str">
        <f aca="false">IF(AND(Tasks[[#This Row],[_IsLeaf]]=1,N(Tasks[[#This Row],[Actual Start]])=0,Tasks[[#This Row],[_ShownFcstStart]]&gt;=StatusDate,Tasks[[#This Row],[_ShownFcstStart]]&lt;=LookaheadEnd),Tasks[[#This Row],[_ShownFcstStart]]+Tasks[[#This Row],[_Row]]/100000,"")</f>
        <v/>
      </c>
      <c r="GG198" s="42" t="str">
        <f aca="false">IF(AND(Tasks[[#This Row],[_IsLeaf]]=1,Tasks[[#This Row],[_LeafProgress]]&lt;1,Tasks[[#This Row],[_ShownFcstFinish]]&gt;=StatusDate,Tasks[[#This Row],[_ShownFcstFinish]]&lt;=LookaheadEnd),Tasks[[#This Row],[_ShownFcstFinish]]+Tasks[[#This Row],[_Row]]/100000,"")</f>
        <v/>
      </c>
      <c r="GH198" s="42" t="str">
        <f aca="false">IF(Tasks[[#This Row],[_LeafCritical]],Tasks[[#This Row],[_ShownFcstStart]]+Tasks[[#This Row],[_Row]]/100000,"")</f>
        <v/>
      </c>
      <c r="GI198" s="42" t="n">
        <f aca="false">Tasks[[#This Row],[_LeafWork]]*Tasks[[#This Row],[_LeafProgress]]</f>
        <v>0</v>
      </c>
      <c r="GJ198" s="89" t="str">
        <f aca="false">IF(AND(Tasks[[#This Row],[_IsLeaf]]=1,Tasks[[#This Row],[_LeafProgress]]&gt;=1),IF(N(Tasks[[#This Row],[Actual Finish]])&gt;0,Tasks[[#This Row],[Actual Finish]],Tasks[[#This Row],[_ShownFcstFinish]]),"")</f>
        <v/>
      </c>
      <c r="GK198" s="42" t="n">
        <f aca="false">IF(Tasks[[#This Row],[_IsLeaf]]=1,N(Tasks[[#This Row],[Story Points]]),0)</f>
        <v>0</v>
      </c>
      <c r="GL198" s="42" t="str">
        <f aca="false">""</f>
        <v/>
      </c>
      <c r="GM198" s="88" t="b">
        <f aca="false">IF(Tasks[[#This Row],[Task Name]]="",FALSE(),AND(Tasks[[#This Row],[_IsLeaf]]=1,N(Tasks[[#This Row],[_Days]])=0))</f>
        <v>0</v>
      </c>
      <c r="GN198" s="89" t="n">
        <f aca="false">IF(Tasks[[#This Row],[Task Name]]="",0,IF(AND(Tasks[[#This Row],[_IsLeaf]]=1,NOT(Tasks[[#This Row],[_IsMilestone]]),N(Tasks[[#This Row],[Progress]])&gt;0),Tasks[[#This Row],[Start]],0))</f>
        <v>0</v>
      </c>
      <c r="GO198" s="89" t="n">
        <f aca="false">IF(Tasks[[#This Row],[_DoneFrom]]=0,0,IF(Tasks[[#This Row],[Progress]]&gt;=1,Tasks[[#This Row],[Finish]],MAX(Tasks[[#This Row],[_DoneFrom]],Tasks[[#This Row],[Start]]+ROUND((Tasks[[#This Row],[Finish]]-Tasks[[#This Row],[Start]]+1)*Tasks[[#This Row],[Progress]],0)-1)))</f>
        <v>0</v>
      </c>
      <c r="GP198" s="89" t="n">
        <f aca="false">IF(Tasks[[#This Row],[Task Name]]="",0,IF(OR(NOT(Tasks[[#This Row],[_IsLeaf]]=1),Tasks[[#This Row],[_IsMilestone]],N(Tasks[[#This Row],[Progress]])&gt;=1),0,IF(Tasks[[#This Row],[_DoneTo]]&gt;0,Tasks[[#This Row],[_DoneTo]]+1,Tasks[[#This Row],[Start]])))</f>
        <v>0</v>
      </c>
      <c r="GQ198" s="89" t="n">
        <f aca="false">IF(Tasks[[#This Row],[_RemFrom]]=0,0,Tasks[[#This Row],[Finish]])</f>
        <v>0</v>
      </c>
      <c r="GR198" s="88" t="b">
        <f aca="false">IF(Tasks[[#This Row],[Task Name]]="",FALSE(),OR(NOT(BaselineSet),N(Tasks[[#This Row],[Baseline Start]])&gt;0))</f>
        <v>0</v>
      </c>
      <c r="GS1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8" s="90" t="str">
        <f aca="false">IF(Tasks[[#This Row],[_IsLeaf]]=1,Tasks[[#This Row],[_Row]],"")</f>
        <v/>
      </c>
      <c r="GW198" s="90" t="str">
        <f aca="false">IFERROR(INDEX(Tasks[UID],SMALL(Tasks[_PickKey],Tasks[[#This Row],[_Row]]))&amp;" "&amp;INDEX(Tasks[Task Name],SMALL(Tasks[_PickKey],Tasks[[#This Row],[_Row]])),"")</f>
        <v/>
      </c>
      <c r="GX198" s="42" t="str">
        <f aca="false">IF(Tasks[[#This Row],[Task Name]]="","",IF(Tasks[[#This Row],[_IsSummary]],NETWORKDAYS.INTL(Tasks[[#This Row],[Start]],Tasks[[#This Row],[Finish]],WorkWeek,Holidays),N(Tasks[[#This Row],[_Days]])))</f>
        <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3"/>
      <c r="U199" s="23"/>
      <c r="V199" s="83"/>
      <c r="W199" s="23"/>
      <c r="X199" s="83"/>
      <c r="Y199" s="23"/>
      <c r="Z199" s="83"/>
      <c r="AA199" s="23"/>
      <c r="AB199" s="23"/>
      <c r="AC199" s="7"/>
      <c r="AD199" s="7"/>
      <c r="AE199" s="62" t="str">
        <f aca="false">IF(Tasks[[#This Row],[Task Name]]="","",IF(Tasks[[#This Row],[_IsSummary]],MIN(INDEX(Tasks[_ShownFcstStart],Tasks[[#This Row],[_Row]]+1):INDEX(Tasks[_ShownFcstStart],Tasks[[#This Row],[_Row]]+Tasks[[#This Row],[_Descendants]])),Tasks[[#This Row],[_ShownFcstStart]]))</f>
        <v/>
      </c>
      <c r="AF199" s="62"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9" s="7"/>
      <c r="AK199" s="22"/>
      <c r="AL199" s="23"/>
      <c r="AM199" s="7"/>
      <c r="AN199" s="46"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2" t="str">
        <f aca="false">IF(Tasks[[#This Row],[Task Name]]="","",IF(N(Tasks[[#This Row],[Baseline Start]])&gt;0,Tasks[[#This Row],[Baseline Start]],Tasks[[#This Row],[_CalcStart]]))</f>
        <v/>
      </c>
      <c r="AR199" s="62" t="str">
        <f aca="false">IF(Tasks[[#This Row],[Task Name]]="","",IF(N(Tasks[[#This Row],[Baseline Finish]])&gt;0,Tasks[[#This Row],[Baseline Finish]],Tasks[[#This Row],[_CalcFinish]]))</f>
        <v/>
      </c>
      <c r="AS199" s="46" t="str">
        <f aca="false">IF(Tasks[[#This Row],[Task Name]]="","",IF(Tasks[[#This Row],[Start]]&gt;=Tasks[[#This Row],[Planned Start]],NETWORKDAYS.INTL(Tasks[[#This Row],[Planned Start]],Tasks[[#This Row],[Start]],WorkWeek,Holidays)-1,1-NETWORKDAYS.INTL(Tasks[[#This Row],[Start]],Tasks[[#This Row],[Planned Start]],WorkWeek,Holidays)))</f>
        <v/>
      </c>
      <c r="AT199" s="62" t="str">
        <f aca="false">IF(Tasks[[#This Row],[Task Name]]="","",IF(Tasks[[#This Row],[_IsSummary]],MIN(INDEX(Tasks[_LeafLateStart],Tasks[[#This Row],[_Row]]+1):INDEX(Tasks[_LeafLateStart],Tasks[[#This Row],[_Row]]+Tasks[[#This Row],[_Descendants]])),Tasks[[#This Row],[_LeafLateStart]]))</f>
        <v/>
      </c>
      <c r="AU199" s="62" t="str">
        <f aca="false">IF(Tasks[[#This Row],[Task Name]]="","",IF(Tasks[[#This Row],[_IsSummary]],MAX(INDEX(Tasks[_LeafLateFinish],Tasks[[#This Row],[_Row]]+1):INDEX(Tasks[_LeafLateFinish],Tasks[[#This Row],[_Row]]+Tasks[[#This Row],[_Descendants]])),Tasks[[#This Row],[_LeafLateFinish]]))</f>
        <v/>
      </c>
      <c r="AV199" s="46"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4"/>
      <c r="BA1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5"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6"/>
      <c r="BJ199" s="22"/>
      <c r="BK199" s="46" t="str">
        <f aca="false">IF(OR(Tasks[[#This Row],[Task Name]]="",Tasks[[#This Row],[Baseline Duration]]=""),"",Tasks[[#This Row],[_SpanDays]]-N(Tasks[[#This Row],[Baseline Duration]]))</f>
        <v/>
      </c>
      <c r="BL199" s="85" t="str">
        <f aca="false">IF(OR(Tasks[[#This Row],[Task Name]]="",Tasks[[#This Row],[Baseline Work]]=""),"",Tasks[[#This Row],[Work]]-N(Tasks[[#This Row],[Baseline Work]]))</f>
        <v/>
      </c>
      <c r="BM199" s="62" t="str">
        <f aca="false">IF(Tasks[[#This Row],[Task Name]]="","",IF(OR(TakeBaseline="Yes",N(Tasks[[#This Row],[Baseline Start]])=0),Tasks[[#This Row],[Start]],Tasks[[#This Row],[Baseline Start]]))</f>
        <v/>
      </c>
      <c r="BN199" s="62"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5" t="str">
        <f aca="false">IF(Tasks[[#This Row],[Task Name]]="","",IF(OR(TakeBaseline="Yes",N(Tasks[[#This Row],[Baseline Work]])=0),Tasks[[#This Row],[Work]],Tasks[[#This Row],[Baseline Work]]))</f>
        <v/>
      </c>
      <c r="BQ199" s="7"/>
      <c r="BR199" s="7"/>
      <c r="BS199" s="22"/>
      <c r="BT199" s="87"/>
      <c r="BU199" s="42" t="str">
        <f aca="false">IF(Tasks[[#This Row],[Task Name]]="","",MAX(1,N(Tasks[[#This Row],[Level]])))</f>
        <v/>
      </c>
      <c r="BV199" s="42" t="n">
        <f aca="false">ROW()-ROW(Tasks[[#Headers],[ID]])</f>
        <v>194</v>
      </c>
      <c r="BW199" s="42" t="n">
        <f aca="false">IF(OR(Tasks[[#This Row],[Task Name]]="",Tasks[[#This Row],[_Level]]&lt;=1),0,IFERROR(LOOKUP(2,1/(Tasks[[#Headers],[_Level]]:Tasks[[#This Row],[_Level]]=Tasks[[#This Row],[_Level]]-1),ROW(Tasks[[#Headers],[_Level]]:Tasks[[#This Row],[_Level]])),0))</f>
        <v>0</v>
      </c>
      <c r="BX199" s="42" t="n">
        <f aca="false">IFERROR(N(INDEX(Tasks[_Level],Tasks[[#This Row],[_Row]]+1)),0)</f>
        <v>0</v>
      </c>
      <c r="BY199" s="88" t="b">
        <f aca="false">AND(Tasks[[#This Row],[Task Name]]&lt;&gt;"",Tasks[[#This Row],[_NextLevel]]&gt;Tasks[[#This Row],[_Level]])</f>
        <v>0</v>
      </c>
      <c r="BZ199" s="42" t="n">
        <f aca="false">IF(Tasks[[#This Row],[_IsSummary]],COUNTIF(Tasks[WBS],Tasks[[#This Row],[WBS]]&amp;".*"),0)</f>
        <v>0</v>
      </c>
      <c r="CA199" s="42" t="n">
        <f aca="false">IF(AND(Tasks[[#This Row],[Task Name]]&lt;&gt;"",NOT(Tasks[[#This Row],[_IsSummary]])),1,0)</f>
        <v>0</v>
      </c>
      <c r="CB199" s="42" t="n">
        <f aca="false">IF(N(Tasks[[#This Row],[_Pred1UID]])=0,0,IFERROR(MATCH(Tasks[[#This Row],[_Pred1UID]],Tasks[UID],0),-1))</f>
        <v>0</v>
      </c>
      <c r="CC199" s="42" t="n">
        <f aca="false">IF(N(Tasks[[#This Row],[_Pred2UID]])=0,0,IFERROR(MATCH(Tasks[[#This Row],[_Pred2UID]],Tasks[UID],0),-1))</f>
        <v>0</v>
      </c>
      <c r="CD199" s="42" t="n">
        <f aca="false">IF(N(Tasks[[#This Row],[_Pred3UID]])=0,0,IFERROR(MATCH(Tasks[[#This Row],[_Pred3UID]],Tasks[UID],0),-1))</f>
        <v>0</v>
      </c>
      <c r="CE199" s="42" t="n">
        <f aca="false">IF(N(Tasks[[#This Row],[_Pred4UID]])=0,0,IFERROR(MATCH(Tasks[[#This Row],[_Pred4UID]],Tasks[UID],0),-1))</f>
        <v>0</v>
      </c>
      <c r="CF1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9" s="89" t="n">
        <f aca="false">IF(OR(Tasks[[#This Row],[_ConstraintCode]]=2,Tasks[[#This Row],[_ConstraintCode]]=3,Tasks[[#This Row],[_ConstraintCode]]=4,Tasks[[#This Row],[_ConstraintCode]]=6),Tasks[[#This Row],[_ConstraintStart]],0)</f>
        <v>0</v>
      </c>
      <c r="CI199" s="89" t="n">
        <f aca="false">IF(OR(Tasks[[#This Row],[_ConstraintCode]]=2,Tasks[[#This Row],[_ConstraintCode]]=3,Tasks[[#This Row],[_ConstraintCode]]=5,Tasks[[#This Row],[_ConstraintCode]]=7),Tasks[[#This Row],[_ConstraintStart]],2958465)</f>
        <v>2958465</v>
      </c>
      <c r="CJ1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9" s="89" t="str">
        <f aca="false">IF(NOT(Tasks[[#This Row],[_IsLeaf]]=1),"",IF(N(Tasks[[#This Row],[_Days]])&lt;=0,Tasks[[#This Row],[_LeafCalcStart]],WORKDAY.INTL(Tasks[[#This Row],[_LeafCalcStart]],Tasks[[#This Row],[_Days]]-1,WorkWeek,Holidays)))</f>
        <v/>
      </c>
      <c r="CL1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9" s="42" t="str">
        <f aca="false">IF(Tasks[[#This Row],[_Predecessors]]="","",TRIM(MID(SUBSTITUTE(SUBSTITUTE(SUBSTITUTE(UPPER(Tasks[[#This Row],[_Predecessors]]),";",",")," ",""),",",REPT(" ",99)),1,99)))</f>
        <v/>
      </c>
      <c r="CO199" s="42" t="str">
        <f aca="false">IF(Tasks[[#This Row],[_Pred1Text]]="","",IFERROR(VALUE(LEFT(Tasks[[#This Row],[_Pred1Text]],MIN(FIND("F",Tasks[[#This Row],[_Pred1Text]]&amp;"F"),FIND("S",Tasks[[#This Row],[_Pred1Text]]&amp;"S"),FIND("+",Tasks[[#This Row],[_Pred1Text]]&amp;"+"),FIND("-",Tasks[[#This Row],[_Pred1Text]]&amp;"-"))-1)),""))</f>
        <v/>
      </c>
      <c r="CP1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9" s="42" t="str">
        <f aca="false">IF(Tasks[[#This Row],[_Pred1Text]]="","",TRIM(MID(SUBSTITUTE(SUBSTITUTE(SUBSTITUTE(UPPER(Tasks[[#This Row],[_Predecessors]]),";",",")," ",""),",",REPT(" ",99)),100,99)))</f>
        <v/>
      </c>
      <c r="CS199" s="42" t="str">
        <f aca="false">IF(Tasks[[#This Row],[_Pred2Text]]="","",IFERROR(VALUE(LEFT(Tasks[[#This Row],[_Pred2Text]],MIN(FIND("F",Tasks[[#This Row],[_Pred2Text]]&amp;"F"),FIND("S",Tasks[[#This Row],[_Pred2Text]]&amp;"S"),FIND("+",Tasks[[#This Row],[_Pred2Text]]&amp;"+"),FIND("-",Tasks[[#This Row],[_Pred2Text]]&amp;"-"))-1)),""))</f>
        <v/>
      </c>
      <c r="CT1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9" s="42" t="str">
        <f aca="false">IF(Tasks[[#This Row],[_Pred2Text]]="","",TRIM(MID(SUBSTITUTE(SUBSTITUTE(SUBSTITUTE(UPPER(Tasks[[#This Row],[_Predecessors]]),";",",")," ",""),",",REPT(" ",99)),199,99)))</f>
        <v/>
      </c>
      <c r="CW199" s="42" t="str">
        <f aca="false">IF(Tasks[[#This Row],[_Pred3Text]]="","",IFERROR(VALUE(LEFT(Tasks[[#This Row],[_Pred3Text]],MIN(FIND("F",Tasks[[#This Row],[_Pred3Text]]&amp;"F"),FIND("S",Tasks[[#This Row],[_Pred3Text]]&amp;"S"),FIND("+",Tasks[[#This Row],[_Pred3Text]]&amp;"+"),FIND("-",Tasks[[#This Row],[_Pred3Text]]&amp;"-"))-1)),""))</f>
        <v/>
      </c>
      <c r="CX1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9" s="42" t="str">
        <f aca="false">IF(Tasks[[#This Row],[_Pred3Text]]="","",TRIM(MID(SUBSTITUTE(SUBSTITUTE(SUBSTITUTE(UPPER(Tasks[[#This Row],[_Predecessors]]),";",",")," ",""),",",REPT(" ",99)),298,99)))</f>
        <v/>
      </c>
      <c r="DA199" s="42" t="str">
        <f aca="false">IF(Tasks[[#This Row],[_Pred4Text]]="","",IFERROR(VALUE(LEFT(Tasks[[#This Row],[_Pred4Text]],MIN(FIND("F",Tasks[[#This Row],[_Pred4Text]]&amp;"F"),FIND("S",Tasks[[#This Row],[_Pred4Text]]&amp;"S"),FIND("+",Tasks[[#This Row],[_Pred4Text]]&amp;"+"),FIND("-",Tasks[[#This Row],[_Pred4Text]]&amp;"-"))-1)),""))</f>
        <v/>
      </c>
      <c r="DB1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9" s="42" t="str">
        <f aca="false">IF(OR(Tasks[[#This Row],[Task Name]]="",Tasks[[#This Row],[_Resources]]=""),"",TRIM(MID(SUBSTITUTE(Tasks[[#This Row],[_Resources]],",",REPT(" ",99)),1,99)))</f>
        <v/>
      </c>
      <c r="DE199" s="42" t="str">
        <f aca="false">IF(Tasks[[#This Row],[_Res1Text]]="","",TRIM(MID(SUBSTITUTE(Tasks[[#This Row],[_Resources]],",",REPT(" ",99)),100,99)))</f>
        <v/>
      </c>
      <c r="DF199" s="42" t="str">
        <f aca="false">IF(Tasks[[#This Row],[_Res2Text]]="","",TRIM(MID(SUBSTITUTE(Tasks[[#This Row],[_Resources]],",",REPT(" ",99)),199,99)))</f>
        <v/>
      </c>
      <c r="DG199" s="42" t="str">
        <f aca="false">IF(Tasks[[#This Row],[_Res3Text]]="","",TRIM(MID(SUBSTITUTE(Tasks[[#This Row],[_Resources]],",",REPT(" ",99)),298,99)))</f>
        <v/>
      </c>
      <c r="DH199" s="42" t="n">
        <f aca="false">IF(Tasks[[#This Row],[_Res1Text]]="",0,IFERROR(MATCH(TRIM(LEFT(Tasks[[#This Row],[_Res1Text]],FIND("[",Tasks[[#This Row],[_Res1Text]]&amp;"[")-1)),res_Name,0),IFERROR(MATCH(TRIM(LEFT(Tasks[[#This Row],[_Res1Text]],FIND("[",Tasks[[#This Row],[_Res1Text]]&amp;"[")-1)),res_Initials,0),0)))</f>
        <v>0</v>
      </c>
      <c r="DI199" s="42" t="n">
        <f aca="false">IF(Tasks[[#This Row],[_Res2Text]]="",0,IFERROR(MATCH(TRIM(LEFT(Tasks[[#This Row],[_Res2Text]],FIND("[",Tasks[[#This Row],[_Res2Text]]&amp;"[")-1)),res_Name,0),IFERROR(MATCH(TRIM(LEFT(Tasks[[#This Row],[_Res2Text]],FIND("[",Tasks[[#This Row],[_Res2Text]]&amp;"[")-1)),res_Initials,0),0)))</f>
        <v>0</v>
      </c>
      <c r="DJ199" s="42" t="n">
        <f aca="false">IF(Tasks[[#This Row],[_Res3Text]]="",0,IFERROR(MATCH(TRIM(LEFT(Tasks[[#This Row],[_Res3Text]],FIND("[",Tasks[[#This Row],[_Res3Text]]&amp;"[")-1)),res_Name,0),IFERROR(MATCH(TRIM(LEFT(Tasks[[#This Row],[_Res3Text]],FIND("[",Tasks[[#This Row],[_Res3Text]]&amp;"[")-1)),res_Initials,0),0)))</f>
        <v>0</v>
      </c>
      <c r="DK199" s="42" t="n">
        <f aca="false">IF(Tasks[[#This Row],[_Res4Text]]="",0,IFERROR(MATCH(TRIM(LEFT(Tasks[[#This Row],[_Res4Text]],FIND("[",Tasks[[#This Row],[_Res4Text]]&amp;"[")-1)),res_Name,0),IFERROR(MATCH(TRIM(LEFT(Tasks[[#This Row],[_Res4Text]],FIND("[",Tasks[[#This Row],[_Res4Text]]&amp;"[")-1)),res_Initials,0),0)))</f>
        <v>0</v>
      </c>
      <c r="DL199" s="42" t="str">
        <f aca="false">IF(Tasks[[#This Row],[_Res1Text]]="","",IF(Tasks[[#This Row],[_Res1Row]]&gt;0,INDEX(res_Name,Tasks[[#This Row],[_Res1Row]]),TRIM(LEFT(Tasks[[#This Row],[_Res1Text]],FIND("[",Tasks[[#This Row],[_Res1Text]]&amp;"[")-1))))</f>
        <v/>
      </c>
      <c r="DM1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9" s="42" t="n">
        <f aca="false">IF(NOT(Tasks[[#This Row],[_IsLeaf]]=1),0,(Tasks[[#This Row],[_Resource1]]&lt;&gt;"")+(Tasks[[#This Row],[_Res2]]&lt;&gt;"")+(Tasks[[#This Row],[_Res3]]&lt;&gt;"")+(Tasks[[#This Row],[_Res4]]&lt;&gt;""))</f>
        <v>0</v>
      </c>
      <c r="DO199" s="42" t="str">
        <f aca="false">IF(Tasks[[#This Row],[_Res2Text]]="","",IF(Tasks[[#This Row],[_Res2Row]]&gt;0,INDEX(res_Name,Tasks[[#This Row],[_Res2Row]]),TRIM(LEFT(Tasks[[#This Row],[_Res2Text]],FIND("[",Tasks[[#This Row],[_Res2Text]]&amp;"[")-1))))</f>
        <v/>
      </c>
      <c r="DP1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9" s="42" t="n">
        <f aca="false">IF(OR(NOT(Tasks[[#This Row],[_IsLeaf]]=1),Tasks[[#This Row],[_Res2Row]]=0),0,N(Tasks[[#This Row],[_Days]])*HoursPerDay*IF(Tasks[[#This Row],[_Res2Units]]="",DefaultUnits,Tasks[[#This Row],[_Res2Units]]))</f>
        <v>0</v>
      </c>
      <c r="DR199" s="42" t="n">
        <f aca="false">IF(AND(AND(Tasks[[#This Row],[_IsLeaf]]=1,Tasks[[#This Row],[_LeafTotalWork]]&gt;0),Tasks[[#This Row],[_Res2Work]]&gt;0),Tasks[[#This Row],[_Res2Work]]/(Tasks[[#This Row],[_FinishWorkday]]-Tasks[[#This Row],[_StartWorkday]]+1),0)</f>
        <v>0</v>
      </c>
      <c r="DS199" s="42" t="n">
        <f aca="false">Tasks[[#This Row],[_Res2WorkPerWD]]*MAX(0,Tasks[[#This Row],[_StartWorkday]]-1)</f>
        <v>0</v>
      </c>
      <c r="DT199" s="42" t="n">
        <f aca="false">Tasks[[#This Row],[_Res2Work]]*Tasks[[#This Row],[_LeafProgress]]</f>
        <v>0</v>
      </c>
      <c r="DU199" s="42" t="str">
        <f aca="false">IF(Tasks[[#This Row],[_Res3Text]]="","",IF(Tasks[[#This Row],[_Res3Row]]&gt;0,INDEX(res_Name,Tasks[[#This Row],[_Res3Row]]),TRIM(LEFT(Tasks[[#This Row],[_Res3Text]],FIND("[",Tasks[[#This Row],[_Res3Text]]&amp;"[")-1))))</f>
        <v/>
      </c>
      <c r="DV1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9" s="42" t="n">
        <f aca="false">IF(OR(NOT(Tasks[[#This Row],[_IsLeaf]]=1),Tasks[[#This Row],[_Res3Row]]=0),0,N(Tasks[[#This Row],[_Days]])*HoursPerDay*IF(Tasks[[#This Row],[_Res3Units]]="",DefaultUnits,Tasks[[#This Row],[_Res3Units]]))</f>
        <v>0</v>
      </c>
      <c r="DX199" s="42" t="n">
        <f aca="false">IF(AND(AND(Tasks[[#This Row],[_IsLeaf]]=1,Tasks[[#This Row],[_LeafTotalWork]]&gt;0),Tasks[[#This Row],[_Res3Work]]&gt;0),Tasks[[#This Row],[_Res3Work]]/(Tasks[[#This Row],[_FinishWorkday]]-Tasks[[#This Row],[_StartWorkday]]+1),0)</f>
        <v>0</v>
      </c>
      <c r="DY199" s="42" t="n">
        <f aca="false">Tasks[[#This Row],[_Res3WorkPerWD]]*MAX(0,Tasks[[#This Row],[_StartWorkday]]-1)</f>
        <v>0</v>
      </c>
      <c r="DZ199" s="42" t="n">
        <f aca="false">Tasks[[#This Row],[_Res3Work]]*Tasks[[#This Row],[_LeafProgress]]</f>
        <v>0</v>
      </c>
      <c r="EA199" s="42" t="str">
        <f aca="false">IF(Tasks[[#This Row],[_Res4Text]]="","",IF(Tasks[[#This Row],[_Res4Row]]&gt;0,INDEX(res_Name,Tasks[[#This Row],[_Res4Row]]),TRIM(LEFT(Tasks[[#This Row],[_Res4Text]],FIND("[",Tasks[[#This Row],[_Res4Text]]&amp;"[")-1))))</f>
        <v/>
      </c>
      <c r="EB1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9" s="42" t="n">
        <f aca="false">IF(OR(NOT(Tasks[[#This Row],[_IsLeaf]]=1),Tasks[[#This Row],[_Res4Row]]=0),0,N(Tasks[[#This Row],[_Days]])*HoursPerDay*IF(Tasks[[#This Row],[_Res4Units]]="",DefaultUnits,Tasks[[#This Row],[_Res4Units]]))</f>
        <v>0</v>
      </c>
      <c r="ED199" s="42" t="n">
        <f aca="false">IF(AND(AND(Tasks[[#This Row],[_IsLeaf]]=1,Tasks[[#This Row],[_LeafTotalWork]]&gt;0),Tasks[[#This Row],[_Res4Work]]&gt;0),Tasks[[#This Row],[_Res4Work]]/(Tasks[[#This Row],[_FinishWorkday]]-Tasks[[#This Row],[_StartWorkday]]+1),0)</f>
        <v>0</v>
      </c>
      <c r="EE199" s="42" t="n">
        <f aca="false">Tasks[[#This Row],[_Res4WorkPerWD]]*MAX(0,Tasks[[#This Row],[_StartWorkday]]-1)</f>
        <v>0</v>
      </c>
      <c r="EF199" s="42" t="n">
        <f aca="false">Tasks[[#This Row],[_Res4Work]]*Tasks[[#This Row],[_LeafProgress]]</f>
        <v>0</v>
      </c>
      <c r="EG199" s="42" t="n">
        <f aca="false">IF(ISNUMBER(Tasks[[#This Row],[% Complete]]),Tasks[[#This Row],[% Complete]],IF(Tasks[[#This Row],[Stage]]="",0,IFERROR(INDEX(stg_Pct,MATCH(Tasks[[#This Row],[Stage]],stg_Name,0)),0)))</f>
        <v>0</v>
      </c>
      <c r="EH199" s="42" t="n">
        <f aca="false">IF(NOT(Tasks[[#This Row],[_IsLeaf]]=1),0,IF(N(Tasks[[#This Row],[Actual Finish]])&gt;0,1,MIN(1,Tasks[[#This Row],[_Pct]])))</f>
        <v>0</v>
      </c>
      <c r="EI199" s="42" t="n">
        <f aca="false">IF(OR(NOT(Tasks[[#This Row],[_IsLeaf]]=1),Tasks[[#This Row],[_Res1Row]]=0),0,N(Tasks[[#This Row],[_Days]])*HoursPerDay*IF(Tasks[[#This Row],[_Units1]]="",DefaultUnits,Tasks[[#This Row],[_Units1]]))</f>
        <v>0</v>
      </c>
      <c r="EJ199" s="42" t="n">
        <f aca="false">Tasks[[#This Row],[_LeafWork]]+Tasks[[#This Row],[_Res2Work]]+Tasks[[#This Row],[_Res3Work]]+Tasks[[#This Row],[_Res4Work]]</f>
        <v>0</v>
      </c>
      <c r="EK1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9" s="42" t="n">
        <f aca="false">IF(NOT(Tasks[[#This Row],[_IsLeaf]]=1),0,MAX(_xlfn.MAXIFS(Tasks[_Row],Tasks[_Pred1UID],Tasks[[#This Row],[UID]]),_xlfn.MAXIFS(Tasks[_Row],Tasks[_Pred2UID],Tasks[[#This Row],[UID]]),_xlfn.MAXIFS(Tasks[_Row],Tasks[_Pred3UID],Tasks[[#This Row],[UID]]),_xlfn.MAXIFS(Tasks[_Row],Tasks[_Pred4UID],Tasks[[#This Row],[UID]])))</f>
        <v>0</v>
      </c>
      <c r="ET1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9" s="89" t="str">
        <f aca="false">IF(NOT(Tasks[[#This Row],[_IsLeaf]]=1),"",IF(N(Tasks[[#This Row],[_Days]])&lt;=0,Tasks[[#This Row],[_LeafLateFinish]],WORKDAY.INTL(Tasks[[#This Row],[_LeafLateFinish]],-(Tasks[[#This Row],[_Days]]-1),WorkWeek,Holidays)))</f>
        <v/>
      </c>
      <c r="EW1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9" s="88" t="b">
        <f aca="false">AND(Tasks[[#This Row],[_IsLeaf]]=1,Tasks[[#This Row],[_LeafProgress]]&lt;1,N(Tasks[[#This Row],[_LeafTotalSlack]])&lt;=CriticalSlackDays)</f>
        <v>0</v>
      </c>
      <c r="EY199" s="42" t="n">
        <f aca="false">IF(AND(Tasks[[#This Row],[_IsLeaf]]=1,Tasks[[#This Row],[_ConstraintCode]]=1,Tasks[[#This Row],[Mode]]&lt;&gt;"Manual",N(Tasks[[#This Row],[Actual Start]])=0),MAX(0,N(Tasks[[#This Row],[Free Slack]])),0)</f>
        <v>0</v>
      </c>
      <c r="EZ199" s="89" t="str">
        <f aca="false">IF(NOT(Tasks[[#This Row],[_IsLeaf]]=1),"",IF(Tasks[[#This Row],[_AlapShift]]=0,Tasks[[#This Row],[_LeafCalcStart]],WORKDAY.INTL(Tasks[[#This Row],[_LeafCalcStart]],Tasks[[#This Row],[_AlapShift]],WorkWeek,Holidays)))</f>
        <v/>
      </c>
      <c r="FA199" s="89" t="str">
        <f aca="false">IF(NOT(Tasks[[#This Row],[_IsLeaf]]=1),"",IF(Tasks[[#This Row],[_AlapShift]]=0,Tasks[[#This Row],[_LeafCalcFinish]],WORKDAY.INTL(Tasks[[#This Row],[_LeafCalcFinish]],Tasks[[#This Row],[_AlapShift]],WorkWeek,Holidays)))</f>
        <v/>
      </c>
      <c r="FB199" s="89" t="str">
        <f aca="false">IF(NOT(Tasks[[#This Row],[_IsLeaf]]=1),"",IF(Tasks[[#This Row],[_AlapShift]]=0,Tasks[[#This Row],[_LeafFcstStart]],WORKDAY.INTL(Tasks[[#This Row],[_LeafFcstStart]],Tasks[[#This Row],[_AlapShift]],WorkWeek,Holidays)))</f>
        <v/>
      </c>
      <c r="FC199" s="89" t="str">
        <f aca="false">IF(NOT(Tasks[[#This Row],[_IsLeaf]]=1),"",IF(Tasks[[#This Row],[_AlapShift]]=0,Tasks[[#This Row],[_LeafFcstFinish]],WORKDAY.INTL(Tasks[[#This Row],[_LeafFcstFinish]],Tasks[[#This Row],[_AlapShift]],WorkWeek,Holidays)))</f>
        <v/>
      </c>
      <c r="FD199" s="89" t="str">
        <f aca="false">IF(Tasks[[#This Row],[Task Name]]="","",IF(Tasks[[#This Row],[_IsSummary]],MIN(INDEX(Tasks[_ShownCalcStart],Tasks[[#This Row],[_Row]]+1):INDEX(Tasks[_ShownCalcStart],Tasks[[#This Row],[_Row]]+Tasks[[#This Row],[_Descendants]])),Tasks[[#This Row],[_ShownCalcStart]]))</f>
        <v/>
      </c>
      <c r="FE199" s="89" t="str">
        <f aca="false">IF(Tasks[[#This Row],[Task Name]]="","",IF(Tasks[[#This Row],[_IsSummary]],MAX(INDEX(Tasks[_ShownCalcFinish],Tasks[[#This Row],[_Row]]+1):INDEX(Tasks[_ShownCalcFinish],Tasks[[#This Row],[_Row]]+Tasks[[#This Row],[_Descendants]])),Tasks[[#This Row],[_ShownCalcFinish]]))</f>
        <v/>
      </c>
      <c r="FF1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9" s="42" t="n">
        <f aca="false">IF(AND(Tasks[[#This Row],[_IsLeaf]]=1,Tasks[[#This Row],[_LeafTotalWork]]&gt;0),NETWORKDAYS.INTL(ProjectStart,Tasks[[#This Row],[_ShownFcstStart]],WorkWeek,Holidays),0)</f>
        <v>0</v>
      </c>
      <c r="FS199" s="42" t="n">
        <f aca="false">IF(AND(Tasks[[#This Row],[_IsLeaf]]=1,Tasks[[#This Row],[_LeafTotalWork]]&gt;0),MAX(Tasks[[#This Row],[_StartWorkday]],NETWORKDAYS.INTL(ProjectStart,Tasks[[#This Row],[_ShownFcstFinish]],WorkWeek,Holidays)),0)</f>
        <v>0</v>
      </c>
      <c r="FT199" s="42" t="n">
        <f aca="false">IF(AND(Tasks[[#This Row],[_IsLeaf]]=1,Tasks[[#This Row],[_LeafTotalWork]]&gt;0),Tasks[[#This Row],[_LeafWork]]/(Tasks[[#This Row],[_FinishWorkday]]-Tasks[[#This Row],[_StartWorkday]]+1),0)</f>
        <v>0</v>
      </c>
      <c r="FU199" s="42" t="n">
        <f aca="false">Tasks[[#This Row],[_WorkPerWorkday]]*(Tasks[[#This Row],[_StartWorkday]]-1)</f>
        <v>-0</v>
      </c>
      <c r="FV199" s="42" t="n">
        <f aca="false">IF(Tasks[[#This Row],[_IsLeaf]]=1,MAX(N(Tasks[[#This Row],[_Days]]),0.1),0)</f>
        <v>0</v>
      </c>
      <c r="FW199" s="42" t="n">
        <f aca="false">Tasks[[#This Row],[_WeightDur]]*Tasks[[#This Row],[_LeafProgress]]</f>
        <v>0</v>
      </c>
      <c r="FX199" s="42" t="n">
        <f aca="false">Tasks[[#This Row],[_WeightDur]]*Tasks[[#This Row],[_PlannedPct]]</f>
        <v>0</v>
      </c>
      <c r="FY1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9" s="42" t="str">
        <f aca="false">IF(AND(Tasks[[#This Row],[_IsLeaf]]=1,N(Tasks[[#This Row],[_Days]])=0,Tasks[[#This Row],[_LeafProgress]]&lt;1),Tasks[[#This Row],[_ShownFcstFinish]]+Tasks[[#This Row],[_Row]]/100000,"")</f>
        <v/>
      </c>
      <c r="GA1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9" s="42" t="str">
        <f aca="false">IF(Tasks[[#This Row],[Task Name]]="","",LEFT(Tasks[[#This Row],[WBS]],FIND(".",Tasks[[#This Row],[WBS]]&amp;".")-1))</f>
        <v/>
      </c>
      <c r="GC199" s="42" t="str">
        <f aca="false">IF(AND(Tasks[[#This Row],[Task Name]]&lt;&gt;"",Tasks[[#This Row],[_Level]]=1),Tasks[[#This Row],[_Row]],"")</f>
        <v/>
      </c>
      <c r="GD199" s="42" t="str">
        <f aca="false">IF(AND(Tasks[[#This Row],[_IsLeaf]]=1,N(Tasks[[#This Row],[_Days]])=0),Tasks[[#This Row],[Planned Finish]]+Tasks[[#This Row],[_Row]]/100000,"")</f>
        <v/>
      </c>
      <c r="GE199" s="42" t="str">
        <f aca="false">IF(AND(Tasks[[#This Row],[_IsLeaf]]=1,Tasks[[#This Row],[_LeafProgress]]&lt;1,OR(N(Tasks[[#This Row],[Finish Var]])&gt;0,Tasks[[#This Row],[Status]]="Late Start")),MAX(0,Tasks[[#This Row],[Finish Var]])+1-Tasks[[#This Row],[_Row]]/1000000,"")</f>
        <v/>
      </c>
      <c r="GF199" s="42" t="str">
        <f aca="false">IF(AND(Tasks[[#This Row],[_IsLeaf]]=1,N(Tasks[[#This Row],[Actual Start]])=0,Tasks[[#This Row],[_ShownFcstStart]]&gt;=StatusDate,Tasks[[#This Row],[_ShownFcstStart]]&lt;=LookaheadEnd),Tasks[[#This Row],[_ShownFcstStart]]+Tasks[[#This Row],[_Row]]/100000,"")</f>
        <v/>
      </c>
      <c r="GG199" s="42" t="str">
        <f aca="false">IF(AND(Tasks[[#This Row],[_IsLeaf]]=1,Tasks[[#This Row],[_LeafProgress]]&lt;1,Tasks[[#This Row],[_ShownFcstFinish]]&gt;=StatusDate,Tasks[[#This Row],[_ShownFcstFinish]]&lt;=LookaheadEnd),Tasks[[#This Row],[_ShownFcstFinish]]+Tasks[[#This Row],[_Row]]/100000,"")</f>
        <v/>
      </c>
      <c r="GH199" s="42" t="str">
        <f aca="false">IF(Tasks[[#This Row],[_LeafCritical]],Tasks[[#This Row],[_ShownFcstStart]]+Tasks[[#This Row],[_Row]]/100000,"")</f>
        <v/>
      </c>
      <c r="GI199" s="42" t="n">
        <f aca="false">Tasks[[#This Row],[_LeafWork]]*Tasks[[#This Row],[_LeafProgress]]</f>
        <v>0</v>
      </c>
      <c r="GJ199" s="89" t="str">
        <f aca="false">IF(AND(Tasks[[#This Row],[_IsLeaf]]=1,Tasks[[#This Row],[_LeafProgress]]&gt;=1),IF(N(Tasks[[#This Row],[Actual Finish]])&gt;0,Tasks[[#This Row],[Actual Finish]],Tasks[[#This Row],[_ShownFcstFinish]]),"")</f>
        <v/>
      </c>
      <c r="GK199" s="42" t="n">
        <f aca="false">IF(Tasks[[#This Row],[_IsLeaf]]=1,N(Tasks[[#This Row],[Story Points]]),0)</f>
        <v>0</v>
      </c>
      <c r="GL199" s="42" t="str">
        <f aca="false">""</f>
        <v/>
      </c>
      <c r="GM199" s="88" t="b">
        <f aca="false">IF(Tasks[[#This Row],[Task Name]]="",FALSE(),AND(Tasks[[#This Row],[_IsLeaf]]=1,N(Tasks[[#This Row],[_Days]])=0))</f>
        <v>0</v>
      </c>
      <c r="GN199" s="89" t="n">
        <f aca="false">IF(Tasks[[#This Row],[Task Name]]="",0,IF(AND(Tasks[[#This Row],[_IsLeaf]]=1,NOT(Tasks[[#This Row],[_IsMilestone]]),N(Tasks[[#This Row],[Progress]])&gt;0),Tasks[[#This Row],[Start]],0))</f>
        <v>0</v>
      </c>
      <c r="GO199" s="89" t="n">
        <f aca="false">IF(Tasks[[#This Row],[_DoneFrom]]=0,0,IF(Tasks[[#This Row],[Progress]]&gt;=1,Tasks[[#This Row],[Finish]],MAX(Tasks[[#This Row],[_DoneFrom]],Tasks[[#This Row],[Start]]+ROUND((Tasks[[#This Row],[Finish]]-Tasks[[#This Row],[Start]]+1)*Tasks[[#This Row],[Progress]],0)-1)))</f>
        <v>0</v>
      </c>
      <c r="GP199" s="89" t="n">
        <f aca="false">IF(Tasks[[#This Row],[Task Name]]="",0,IF(OR(NOT(Tasks[[#This Row],[_IsLeaf]]=1),Tasks[[#This Row],[_IsMilestone]],N(Tasks[[#This Row],[Progress]])&gt;=1),0,IF(Tasks[[#This Row],[_DoneTo]]&gt;0,Tasks[[#This Row],[_DoneTo]]+1,Tasks[[#This Row],[Start]])))</f>
        <v>0</v>
      </c>
      <c r="GQ199" s="89" t="n">
        <f aca="false">IF(Tasks[[#This Row],[_RemFrom]]=0,0,Tasks[[#This Row],[Finish]])</f>
        <v>0</v>
      </c>
      <c r="GR199" s="88" t="b">
        <f aca="false">IF(Tasks[[#This Row],[Task Name]]="",FALSE(),OR(NOT(BaselineSet),N(Tasks[[#This Row],[Baseline Start]])&gt;0))</f>
        <v>0</v>
      </c>
      <c r="GS1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9" s="90" t="str">
        <f aca="false">IF(Tasks[[#This Row],[_IsLeaf]]=1,Tasks[[#This Row],[_Row]],"")</f>
        <v/>
      </c>
      <c r="GW199" s="90" t="str">
        <f aca="false">IFERROR(INDEX(Tasks[UID],SMALL(Tasks[_PickKey],Tasks[[#This Row],[_Row]]))&amp;" "&amp;INDEX(Tasks[Task Name],SMALL(Tasks[_PickKey],Tasks[[#This Row],[_Row]])),"")</f>
        <v/>
      </c>
      <c r="GX199" s="42" t="str">
        <f aca="false">IF(Tasks[[#This Row],[Task Name]]="","",IF(Tasks[[#This Row],[_IsSummary]],NETWORKDAYS.INTL(Tasks[[#This Row],[Start]],Tasks[[#This Row],[Finish]],WorkWeek,Holidays),N(Tasks[[#This Row],[_Days]])))</f>
        <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3"/>
      <c r="U200" s="23"/>
      <c r="V200" s="83"/>
      <c r="W200" s="23"/>
      <c r="X200" s="83"/>
      <c r="Y200" s="23"/>
      <c r="Z200" s="83"/>
      <c r="AA200" s="23"/>
      <c r="AB200" s="23"/>
      <c r="AC200" s="7"/>
      <c r="AD200" s="7"/>
      <c r="AE200" s="62" t="str">
        <f aca="false">IF(Tasks[[#This Row],[Task Name]]="","",IF(Tasks[[#This Row],[_IsSummary]],MIN(INDEX(Tasks[_ShownFcstStart],Tasks[[#This Row],[_Row]]+1):INDEX(Tasks[_ShownFcstStart],Tasks[[#This Row],[_Row]]+Tasks[[#This Row],[_Descendants]])),Tasks[[#This Row],[_ShownFcstStart]]))</f>
        <v/>
      </c>
      <c r="AF200" s="62"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0" s="7"/>
      <c r="AK200" s="22"/>
      <c r="AL200" s="23"/>
      <c r="AM200" s="7"/>
      <c r="AN200" s="46"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2" t="str">
        <f aca="false">IF(Tasks[[#This Row],[Task Name]]="","",IF(N(Tasks[[#This Row],[Baseline Start]])&gt;0,Tasks[[#This Row],[Baseline Start]],Tasks[[#This Row],[_CalcStart]]))</f>
        <v/>
      </c>
      <c r="AR200" s="62" t="str">
        <f aca="false">IF(Tasks[[#This Row],[Task Name]]="","",IF(N(Tasks[[#This Row],[Baseline Finish]])&gt;0,Tasks[[#This Row],[Baseline Finish]],Tasks[[#This Row],[_CalcFinish]]))</f>
        <v/>
      </c>
      <c r="AS200" s="46" t="str">
        <f aca="false">IF(Tasks[[#This Row],[Task Name]]="","",IF(Tasks[[#This Row],[Start]]&gt;=Tasks[[#This Row],[Planned Start]],NETWORKDAYS.INTL(Tasks[[#This Row],[Planned Start]],Tasks[[#This Row],[Start]],WorkWeek,Holidays)-1,1-NETWORKDAYS.INTL(Tasks[[#This Row],[Start]],Tasks[[#This Row],[Planned Start]],WorkWeek,Holidays)))</f>
        <v/>
      </c>
      <c r="AT200" s="62" t="str">
        <f aca="false">IF(Tasks[[#This Row],[Task Name]]="","",IF(Tasks[[#This Row],[_IsSummary]],MIN(INDEX(Tasks[_LeafLateStart],Tasks[[#This Row],[_Row]]+1):INDEX(Tasks[_LeafLateStart],Tasks[[#This Row],[_Row]]+Tasks[[#This Row],[_Descendants]])),Tasks[[#This Row],[_LeafLateStart]]))</f>
        <v/>
      </c>
      <c r="AU200" s="62" t="str">
        <f aca="false">IF(Tasks[[#This Row],[Task Name]]="","",IF(Tasks[[#This Row],[_IsSummary]],MAX(INDEX(Tasks[_LeafLateFinish],Tasks[[#This Row],[_Row]]+1):INDEX(Tasks[_LeafLateFinish],Tasks[[#This Row],[_Row]]+Tasks[[#This Row],[_Descendants]])),Tasks[[#This Row],[_LeafLateFinish]]))</f>
        <v/>
      </c>
      <c r="AV200" s="46"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4"/>
      <c r="BA2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5"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6"/>
      <c r="BJ200" s="22"/>
      <c r="BK200" s="46" t="str">
        <f aca="false">IF(OR(Tasks[[#This Row],[Task Name]]="",Tasks[[#This Row],[Baseline Duration]]=""),"",Tasks[[#This Row],[_SpanDays]]-N(Tasks[[#This Row],[Baseline Duration]]))</f>
        <v/>
      </c>
      <c r="BL200" s="85" t="str">
        <f aca="false">IF(OR(Tasks[[#This Row],[Task Name]]="",Tasks[[#This Row],[Baseline Work]]=""),"",Tasks[[#This Row],[Work]]-N(Tasks[[#This Row],[Baseline Work]]))</f>
        <v/>
      </c>
      <c r="BM200" s="62" t="str">
        <f aca="false">IF(Tasks[[#This Row],[Task Name]]="","",IF(OR(TakeBaseline="Yes",N(Tasks[[#This Row],[Baseline Start]])=0),Tasks[[#This Row],[Start]],Tasks[[#This Row],[Baseline Start]]))</f>
        <v/>
      </c>
      <c r="BN200" s="62"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5" t="str">
        <f aca="false">IF(Tasks[[#This Row],[Task Name]]="","",IF(OR(TakeBaseline="Yes",N(Tasks[[#This Row],[Baseline Work]])=0),Tasks[[#This Row],[Work]],Tasks[[#This Row],[Baseline Work]]))</f>
        <v/>
      </c>
      <c r="BQ200" s="7"/>
      <c r="BR200" s="7"/>
      <c r="BS200" s="22"/>
      <c r="BT200" s="87"/>
      <c r="BU200" s="42" t="str">
        <f aca="false">IF(Tasks[[#This Row],[Task Name]]="","",MAX(1,N(Tasks[[#This Row],[Level]])))</f>
        <v/>
      </c>
      <c r="BV200" s="42" t="n">
        <f aca="false">ROW()-ROW(Tasks[[#Headers],[ID]])</f>
        <v>195</v>
      </c>
      <c r="BW200" s="42" t="n">
        <f aca="false">IF(OR(Tasks[[#This Row],[Task Name]]="",Tasks[[#This Row],[_Level]]&lt;=1),0,IFERROR(LOOKUP(2,1/(Tasks[[#Headers],[_Level]]:Tasks[[#This Row],[_Level]]=Tasks[[#This Row],[_Level]]-1),ROW(Tasks[[#Headers],[_Level]]:Tasks[[#This Row],[_Level]])),0))</f>
        <v>0</v>
      </c>
      <c r="BX200" s="42" t="n">
        <f aca="false">IFERROR(N(INDEX(Tasks[_Level],Tasks[[#This Row],[_Row]]+1)),0)</f>
        <v>0</v>
      </c>
      <c r="BY200" s="88" t="b">
        <f aca="false">AND(Tasks[[#This Row],[Task Name]]&lt;&gt;"",Tasks[[#This Row],[_NextLevel]]&gt;Tasks[[#This Row],[_Level]])</f>
        <v>0</v>
      </c>
      <c r="BZ200" s="42" t="n">
        <f aca="false">IF(Tasks[[#This Row],[_IsSummary]],COUNTIF(Tasks[WBS],Tasks[[#This Row],[WBS]]&amp;".*"),0)</f>
        <v>0</v>
      </c>
      <c r="CA200" s="42" t="n">
        <f aca="false">IF(AND(Tasks[[#This Row],[Task Name]]&lt;&gt;"",NOT(Tasks[[#This Row],[_IsSummary]])),1,0)</f>
        <v>0</v>
      </c>
      <c r="CB200" s="42" t="n">
        <f aca="false">IF(N(Tasks[[#This Row],[_Pred1UID]])=0,0,IFERROR(MATCH(Tasks[[#This Row],[_Pred1UID]],Tasks[UID],0),-1))</f>
        <v>0</v>
      </c>
      <c r="CC200" s="42" t="n">
        <f aca="false">IF(N(Tasks[[#This Row],[_Pred2UID]])=0,0,IFERROR(MATCH(Tasks[[#This Row],[_Pred2UID]],Tasks[UID],0),-1))</f>
        <v>0</v>
      </c>
      <c r="CD200" s="42" t="n">
        <f aca="false">IF(N(Tasks[[#This Row],[_Pred3UID]])=0,0,IFERROR(MATCH(Tasks[[#This Row],[_Pred3UID]],Tasks[UID],0),-1))</f>
        <v>0</v>
      </c>
      <c r="CE200" s="42" t="n">
        <f aca="false">IF(N(Tasks[[#This Row],[_Pred4UID]])=0,0,IFERROR(MATCH(Tasks[[#This Row],[_Pred4UID]],Tasks[UID],0),-1))</f>
        <v>0</v>
      </c>
      <c r="CF2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0" s="89" t="n">
        <f aca="false">IF(OR(Tasks[[#This Row],[_ConstraintCode]]=2,Tasks[[#This Row],[_ConstraintCode]]=3,Tasks[[#This Row],[_ConstraintCode]]=4,Tasks[[#This Row],[_ConstraintCode]]=6),Tasks[[#This Row],[_ConstraintStart]],0)</f>
        <v>0</v>
      </c>
      <c r="CI200" s="89" t="n">
        <f aca="false">IF(OR(Tasks[[#This Row],[_ConstraintCode]]=2,Tasks[[#This Row],[_ConstraintCode]]=3,Tasks[[#This Row],[_ConstraintCode]]=5,Tasks[[#This Row],[_ConstraintCode]]=7),Tasks[[#This Row],[_ConstraintStart]],2958465)</f>
        <v>2958465</v>
      </c>
      <c r="CJ2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0" s="89" t="str">
        <f aca="false">IF(NOT(Tasks[[#This Row],[_IsLeaf]]=1),"",IF(N(Tasks[[#This Row],[_Days]])&lt;=0,Tasks[[#This Row],[_LeafCalcStart]],WORKDAY.INTL(Tasks[[#This Row],[_LeafCalcStart]],Tasks[[#This Row],[_Days]]-1,WorkWeek,Holidays)))</f>
        <v/>
      </c>
      <c r="CL2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0" s="42" t="str">
        <f aca="false">IF(Tasks[[#This Row],[_Predecessors]]="","",TRIM(MID(SUBSTITUTE(SUBSTITUTE(SUBSTITUTE(UPPER(Tasks[[#This Row],[_Predecessors]]),";",",")," ",""),",",REPT(" ",99)),1,99)))</f>
        <v/>
      </c>
      <c r="CO200" s="42" t="str">
        <f aca="false">IF(Tasks[[#This Row],[_Pred1Text]]="","",IFERROR(VALUE(LEFT(Tasks[[#This Row],[_Pred1Text]],MIN(FIND("F",Tasks[[#This Row],[_Pred1Text]]&amp;"F"),FIND("S",Tasks[[#This Row],[_Pred1Text]]&amp;"S"),FIND("+",Tasks[[#This Row],[_Pred1Text]]&amp;"+"),FIND("-",Tasks[[#This Row],[_Pred1Text]]&amp;"-"))-1)),""))</f>
        <v/>
      </c>
      <c r="CP2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0" s="42" t="str">
        <f aca="false">IF(Tasks[[#This Row],[_Pred1Text]]="","",TRIM(MID(SUBSTITUTE(SUBSTITUTE(SUBSTITUTE(UPPER(Tasks[[#This Row],[_Predecessors]]),";",",")," ",""),",",REPT(" ",99)),100,99)))</f>
        <v/>
      </c>
      <c r="CS200" s="42" t="str">
        <f aca="false">IF(Tasks[[#This Row],[_Pred2Text]]="","",IFERROR(VALUE(LEFT(Tasks[[#This Row],[_Pred2Text]],MIN(FIND("F",Tasks[[#This Row],[_Pred2Text]]&amp;"F"),FIND("S",Tasks[[#This Row],[_Pred2Text]]&amp;"S"),FIND("+",Tasks[[#This Row],[_Pred2Text]]&amp;"+"),FIND("-",Tasks[[#This Row],[_Pred2Text]]&amp;"-"))-1)),""))</f>
        <v/>
      </c>
      <c r="CT2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0" s="42" t="str">
        <f aca="false">IF(Tasks[[#This Row],[_Pred2Text]]="","",TRIM(MID(SUBSTITUTE(SUBSTITUTE(SUBSTITUTE(UPPER(Tasks[[#This Row],[_Predecessors]]),";",",")," ",""),",",REPT(" ",99)),199,99)))</f>
        <v/>
      </c>
      <c r="CW200" s="42" t="str">
        <f aca="false">IF(Tasks[[#This Row],[_Pred3Text]]="","",IFERROR(VALUE(LEFT(Tasks[[#This Row],[_Pred3Text]],MIN(FIND("F",Tasks[[#This Row],[_Pred3Text]]&amp;"F"),FIND("S",Tasks[[#This Row],[_Pred3Text]]&amp;"S"),FIND("+",Tasks[[#This Row],[_Pred3Text]]&amp;"+"),FIND("-",Tasks[[#This Row],[_Pred3Text]]&amp;"-"))-1)),""))</f>
        <v/>
      </c>
      <c r="CX2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0" s="42" t="str">
        <f aca="false">IF(Tasks[[#This Row],[_Pred3Text]]="","",TRIM(MID(SUBSTITUTE(SUBSTITUTE(SUBSTITUTE(UPPER(Tasks[[#This Row],[_Predecessors]]),";",",")," ",""),",",REPT(" ",99)),298,99)))</f>
        <v/>
      </c>
      <c r="DA200" s="42" t="str">
        <f aca="false">IF(Tasks[[#This Row],[_Pred4Text]]="","",IFERROR(VALUE(LEFT(Tasks[[#This Row],[_Pred4Text]],MIN(FIND("F",Tasks[[#This Row],[_Pred4Text]]&amp;"F"),FIND("S",Tasks[[#This Row],[_Pred4Text]]&amp;"S"),FIND("+",Tasks[[#This Row],[_Pred4Text]]&amp;"+"),FIND("-",Tasks[[#This Row],[_Pred4Text]]&amp;"-"))-1)),""))</f>
        <v/>
      </c>
      <c r="DB2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0" s="42" t="str">
        <f aca="false">IF(OR(Tasks[[#This Row],[Task Name]]="",Tasks[[#This Row],[_Resources]]=""),"",TRIM(MID(SUBSTITUTE(Tasks[[#This Row],[_Resources]],",",REPT(" ",99)),1,99)))</f>
        <v/>
      </c>
      <c r="DE200" s="42" t="str">
        <f aca="false">IF(Tasks[[#This Row],[_Res1Text]]="","",TRIM(MID(SUBSTITUTE(Tasks[[#This Row],[_Resources]],",",REPT(" ",99)),100,99)))</f>
        <v/>
      </c>
      <c r="DF200" s="42" t="str">
        <f aca="false">IF(Tasks[[#This Row],[_Res2Text]]="","",TRIM(MID(SUBSTITUTE(Tasks[[#This Row],[_Resources]],",",REPT(" ",99)),199,99)))</f>
        <v/>
      </c>
      <c r="DG200" s="42" t="str">
        <f aca="false">IF(Tasks[[#This Row],[_Res3Text]]="","",TRIM(MID(SUBSTITUTE(Tasks[[#This Row],[_Resources]],",",REPT(" ",99)),298,99)))</f>
        <v/>
      </c>
      <c r="DH200" s="42" t="n">
        <f aca="false">IF(Tasks[[#This Row],[_Res1Text]]="",0,IFERROR(MATCH(TRIM(LEFT(Tasks[[#This Row],[_Res1Text]],FIND("[",Tasks[[#This Row],[_Res1Text]]&amp;"[")-1)),res_Name,0),IFERROR(MATCH(TRIM(LEFT(Tasks[[#This Row],[_Res1Text]],FIND("[",Tasks[[#This Row],[_Res1Text]]&amp;"[")-1)),res_Initials,0),0)))</f>
        <v>0</v>
      </c>
      <c r="DI200" s="42" t="n">
        <f aca="false">IF(Tasks[[#This Row],[_Res2Text]]="",0,IFERROR(MATCH(TRIM(LEFT(Tasks[[#This Row],[_Res2Text]],FIND("[",Tasks[[#This Row],[_Res2Text]]&amp;"[")-1)),res_Name,0),IFERROR(MATCH(TRIM(LEFT(Tasks[[#This Row],[_Res2Text]],FIND("[",Tasks[[#This Row],[_Res2Text]]&amp;"[")-1)),res_Initials,0),0)))</f>
        <v>0</v>
      </c>
      <c r="DJ200" s="42" t="n">
        <f aca="false">IF(Tasks[[#This Row],[_Res3Text]]="",0,IFERROR(MATCH(TRIM(LEFT(Tasks[[#This Row],[_Res3Text]],FIND("[",Tasks[[#This Row],[_Res3Text]]&amp;"[")-1)),res_Name,0),IFERROR(MATCH(TRIM(LEFT(Tasks[[#This Row],[_Res3Text]],FIND("[",Tasks[[#This Row],[_Res3Text]]&amp;"[")-1)),res_Initials,0),0)))</f>
        <v>0</v>
      </c>
      <c r="DK200" s="42" t="n">
        <f aca="false">IF(Tasks[[#This Row],[_Res4Text]]="",0,IFERROR(MATCH(TRIM(LEFT(Tasks[[#This Row],[_Res4Text]],FIND("[",Tasks[[#This Row],[_Res4Text]]&amp;"[")-1)),res_Name,0),IFERROR(MATCH(TRIM(LEFT(Tasks[[#This Row],[_Res4Text]],FIND("[",Tasks[[#This Row],[_Res4Text]]&amp;"[")-1)),res_Initials,0),0)))</f>
        <v>0</v>
      </c>
      <c r="DL200" s="42" t="str">
        <f aca="false">IF(Tasks[[#This Row],[_Res1Text]]="","",IF(Tasks[[#This Row],[_Res1Row]]&gt;0,INDEX(res_Name,Tasks[[#This Row],[_Res1Row]]),TRIM(LEFT(Tasks[[#This Row],[_Res1Text]],FIND("[",Tasks[[#This Row],[_Res1Text]]&amp;"[")-1))))</f>
        <v/>
      </c>
      <c r="DM2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0" s="42" t="n">
        <f aca="false">IF(NOT(Tasks[[#This Row],[_IsLeaf]]=1),0,(Tasks[[#This Row],[_Resource1]]&lt;&gt;"")+(Tasks[[#This Row],[_Res2]]&lt;&gt;"")+(Tasks[[#This Row],[_Res3]]&lt;&gt;"")+(Tasks[[#This Row],[_Res4]]&lt;&gt;""))</f>
        <v>0</v>
      </c>
      <c r="DO200" s="42" t="str">
        <f aca="false">IF(Tasks[[#This Row],[_Res2Text]]="","",IF(Tasks[[#This Row],[_Res2Row]]&gt;0,INDEX(res_Name,Tasks[[#This Row],[_Res2Row]]),TRIM(LEFT(Tasks[[#This Row],[_Res2Text]],FIND("[",Tasks[[#This Row],[_Res2Text]]&amp;"[")-1))))</f>
        <v/>
      </c>
      <c r="DP2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0" s="42" t="n">
        <f aca="false">IF(OR(NOT(Tasks[[#This Row],[_IsLeaf]]=1),Tasks[[#This Row],[_Res2Row]]=0),0,N(Tasks[[#This Row],[_Days]])*HoursPerDay*IF(Tasks[[#This Row],[_Res2Units]]="",DefaultUnits,Tasks[[#This Row],[_Res2Units]]))</f>
        <v>0</v>
      </c>
      <c r="DR200" s="42" t="n">
        <f aca="false">IF(AND(AND(Tasks[[#This Row],[_IsLeaf]]=1,Tasks[[#This Row],[_LeafTotalWork]]&gt;0),Tasks[[#This Row],[_Res2Work]]&gt;0),Tasks[[#This Row],[_Res2Work]]/(Tasks[[#This Row],[_FinishWorkday]]-Tasks[[#This Row],[_StartWorkday]]+1),0)</f>
        <v>0</v>
      </c>
      <c r="DS200" s="42" t="n">
        <f aca="false">Tasks[[#This Row],[_Res2WorkPerWD]]*MAX(0,Tasks[[#This Row],[_StartWorkday]]-1)</f>
        <v>0</v>
      </c>
      <c r="DT200" s="42" t="n">
        <f aca="false">Tasks[[#This Row],[_Res2Work]]*Tasks[[#This Row],[_LeafProgress]]</f>
        <v>0</v>
      </c>
      <c r="DU200" s="42" t="str">
        <f aca="false">IF(Tasks[[#This Row],[_Res3Text]]="","",IF(Tasks[[#This Row],[_Res3Row]]&gt;0,INDEX(res_Name,Tasks[[#This Row],[_Res3Row]]),TRIM(LEFT(Tasks[[#This Row],[_Res3Text]],FIND("[",Tasks[[#This Row],[_Res3Text]]&amp;"[")-1))))</f>
        <v/>
      </c>
      <c r="DV2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0" s="42" t="n">
        <f aca="false">IF(OR(NOT(Tasks[[#This Row],[_IsLeaf]]=1),Tasks[[#This Row],[_Res3Row]]=0),0,N(Tasks[[#This Row],[_Days]])*HoursPerDay*IF(Tasks[[#This Row],[_Res3Units]]="",DefaultUnits,Tasks[[#This Row],[_Res3Units]]))</f>
        <v>0</v>
      </c>
      <c r="DX200" s="42" t="n">
        <f aca="false">IF(AND(AND(Tasks[[#This Row],[_IsLeaf]]=1,Tasks[[#This Row],[_LeafTotalWork]]&gt;0),Tasks[[#This Row],[_Res3Work]]&gt;0),Tasks[[#This Row],[_Res3Work]]/(Tasks[[#This Row],[_FinishWorkday]]-Tasks[[#This Row],[_StartWorkday]]+1),0)</f>
        <v>0</v>
      </c>
      <c r="DY200" s="42" t="n">
        <f aca="false">Tasks[[#This Row],[_Res3WorkPerWD]]*MAX(0,Tasks[[#This Row],[_StartWorkday]]-1)</f>
        <v>0</v>
      </c>
      <c r="DZ200" s="42" t="n">
        <f aca="false">Tasks[[#This Row],[_Res3Work]]*Tasks[[#This Row],[_LeafProgress]]</f>
        <v>0</v>
      </c>
      <c r="EA200" s="42" t="str">
        <f aca="false">IF(Tasks[[#This Row],[_Res4Text]]="","",IF(Tasks[[#This Row],[_Res4Row]]&gt;0,INDEX(res_Name,Tasks[[#This Row],[_Res4Row]]),TRIM(LEFT(Tasks[[#This Row],[_Res4Text]],FIND("[",Tasks[[#This Row],[_Res4Text]]&amp;"[")-1))))</f>
        <v/>
      </c>
      <c r="EB2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0" s="42" t="n">
        <f aca="false">IF(OR(NOT(Tasks[[#This Row],[_IsLeaf]]=1),Tasks[[#This Row],[_Res4Row]]=0),0,N(Tasks[[#This Row],[_Days]])*HoursPerDay*IF(Tasks[[#This Row],[_Res4Units]]="",DefaultUnits,Tasks[[#This Row],[_Res4Units]]))</f>
        <v>0</v>
      </c>
      <c r="ED200" s="42" t="n">
        <f aca="false">IF(AND(AND(Tasks[[#This Row],[_IsLeaf]]=1,Tasks[[#This Row],[_LeafTotalWork]]&gt;0),Tasks[[#This Row],[_Res4Work]]&gt;0),Tasks[[#This Row],[_Res4Work]]/(Tasks[[#This Row],[_FinishWorkday]]-Tasks[[#This Row],[_StartWorkday]]+1),0)</f>
        <v>0</v>
      </c>
      <c r="EE200" s="42" t="n">
        <f aca="false">Tasks[[#This Row],[_Res4WorkPerWD]]*MAX(0,Tasks[[#This Row],[_StartWorkday]]-1)</f>
        <v>0</v>
      </c>
      <c r="EF200" s="42" t="n">
        <f aca="false">Tasks[[#This Row],[_Res4Work]]*Tasks[[#This Row],[_LeafProgress]]</f>
        <v>0</v>
      </c>
      <c r="EG200" s="42" t="n">
        <f aca="false">IF(ISNUMBER(Tasks[[#This Row],[% Complete]]),Tasks[[#This Row],[% Complete]],IF(Tasks[[#This Row],[Stage]]="",0,IFERROR(INDEX(stg_Pct,MATCH(Tasks[[#This Row],[Stage]],stg_Name,0)),0)))</f>
        <v>0</v>
      </c>
      <c r="EH200" s="42" t="n">
        <f aca="false">IF(NOT(Tasks[[#This Row],[_IsLeaf]]=1),0,IF(N(Tasks[[#This Row],[Actual Finish]])&gt;0,1,MIN(1,Tasks[[#This Row],[_Pct]])))</f>
        <v>0</v>
      </c>
      <c r="EI200" s="42" t="n">
        <f aca="false">IF(OR(NOT(Tasks[[#This Row],[_IsLeaf]]=1),Tasks[[#This Row],[_Res1Row]]=0),0,N(Tasks[[#This Row],[_Days]])*HoursPerDay*IF(Tasks[[#This Row],[_Units1]]="",DefaultUnits,Tasks[[#This Row],[_Units1]]))</f>
        <v>0</v>
      </c>
      <c r="EJ200" s="42" t="n">
        <f aca="false">Tasks[[#This Row],[_LeafWork]]+Tasks[[#This Row],[_Res2Work]]+Tasks[[#This Row],[_Res3Work]]+Tasks[[#This Row],[_Res4Work]]</f>
        <v>0</v>
      </c>
      <c r="EK2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0" s="42" t="n">
        <f aca="false">IF(NOT(Tasks[[#This Row],[_IsLeaf]]=1),0,MAX(_xlfn.MAXIFS(Tasks[_Row],Tasks[_Pred1UID],Tasks[[#This Row],[UID]]),_xlfn.MAXIFS(Tasks[_Row],Tasks[_Pred2UID],Tasks[[#This Row],[UID]]),_xlfn.MAXIFS(Tasks[_Row],Tasks[_Pred3UID],Tasks[[#This Row],[UID]]),_xlfn.MAXIFS(Tasks[_Row],Tasks[_Pred4UID],Tasks[[#This Row],[UID]])))</f>
        <v>0</v>
      </c>
      <c r="ET2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0" s="89" t="str">
        <f aca="false">IF(NOT(Tasks[[#This Row],[_IsLeaf]]=1),"",IF(N(Tasks[[#This Row],[_Days]])&lt;=0,Tasks[[#This Row],[_LeafLateFinish]],WORKDAY.INTL(Tasks[[#This Row],[_LeafLateFinish]],-(Tasks[[#This Row],[_Days]]-1),WorkWeek,Holidays)))</f>
        <v/>
      </c>
      <c r="EW2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0" s="88" t="b">
        <f aca="false">AND(Tasks[[#This Row],[_IsLeaf]]=1,Tasks[[#This Row],[_LeafProgress]]&lt;1,N(Tasks[[#This Row],[_LeafTotalSlack]])&lt;=CriticalSlackDays)</f>
        <v>0</v>
      </c>
      <c r="EY200" s="42" t="n">
        <f aca="false">IF(AND(Tasks[[#This Row],[_IsLeaf]]=1,Tasks[[#This Row],[_ConstraintCode]]=1,Tasks[[#This Row],[Mode]]&lt;&gt;"Manual",N(Tasks[[#This Row],[Actual Start]])=0),MAX(0,N(Tasks[[#This Row],[Free Slack]])),0)</f>
        <v>0</v>
      </c>
      <c r="EZ200" s="89" t="str">
        <f aca="false">IF(NOT(Tasks[[#This Row],[_IsLeaf]]=1),"",IF(Tasks[[#This Row],[_AlapShift]]=0,Tasks[[#This Row],[_LeafCalcStart]],WORKDAY.INTL(Tasks[[#This Row],[_LeafCalcStart]],Tasks[[#This Row],[_AlapShift]],WorkWeek,Holidays)))</f>
        <v/>
      </c>
      <c r="FA200" s="89" t="str">
        <f aca="false">IF(NOT(Tasks[[#This Row],[_IsLeaf]]=1),"",IF(Tasks[[#This Row],[_AlapShift]]=0,Tasks[[#This Row],[_LeafCalcFinish]],WORKDAY.INTL(Tasks[[#This Row],[_LeafCalcFinish]],Tasks[[#This Row],[_AlapShift]],WorkWeek,Holidays)))</f>
        <v/>
      </c>
      <c r="FB200" s="89" t="str">
        <f aca="false">IF(NOT(Tasks[[#This Row],[_IsLeaf]]=1),"",IF(Tasks[[#This Row],[_AlapShift]]=0,Tasks[[#This Row],[_LeafFcstStart]],WORKDAY.INTL(Tasks[[#This Row],[_LeafFcstStart]],Tasks[[#This Row],[_AlapShift]],WorkWeek,Holidays)))</f>
        <v/>
      </c>
      <c r="FC200" s="89" t="str">
        <f aca="false">IF(NOT(Tasks[[#This Row],[_IsLeaf]]=1),"",IF(Tasks[[#This Row],[_AlapShift]]=0,Tasks[[#This Row],[_LeafFcstFinish]],WORKDAY.INTL(Tasks[[#This Row],[_LeafFcstFinish]],Tasks[[#This Row],[_AlapShift]],WorkWeek,Holidays)))</f>
        <v/>
      </c>
      <c r="FD200" s="89" t="str">
        <f aca="false">IF(Tasks[[#This Row],[Task Name]]="","",IF(Tasks[[#This Row],[_IsSummary]],MIN(INDEX(Tasks[_ShownCalcStart],Tasks[[#This Row],[_Row]]+1):INDEX(Tasks[_ShownCalcStart],Tasks[[#This Row],[_Row]]+Tasks[[#This Row],[_Descendants]])),Tasks[[#This Row],[_ShownCalcStart]]))</f>
        <v/>
      </c>
      <c r="FE200" s="89" t="str">
        <f aca="false">IF(Tasks[[#This Row],[Task Name]]="","",IF(Tasks[[#This Row],[_IsSummary]],MAX(INDEX(Tasks[_ShownCalcFinish],Tasks[[#This Row],[_Row]]+1):INDEX(Tasks[_ShownCalcFinish],Tasks[[#This Row],[_Row]]+Tasks[[#This Row],[_Descendants]])),Tasks[[#This Row],[_ShownCalcFinish]]))</f>
        <v/>
      </c>
      <c r="FF2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0" s="42" t="n">
        <f aca="false">IF(AND(Tasks[[#This Row],[_IsLeaf]]=1,Tasks[[#This Row],[_LeafTotalWork]]&gt;0),NETWORKDAYS.INTL(ProjectStart,Tasks[[#This Row],[_ShownFcstStart]],WorkWeek,Holidays),0)</f>
        <v>0</v>
      </c>
      <c r="FS200" s="42" t="n">
        <f aca="false">IF(AND(Tasks[[#This Row],[_IsLeaf]]=1,Tasks[[#This Row],[_LeafTotalWork]]&gt;0),MAX(Tasks[[#This Row],[_StartWorkday]],NETWORKDAYS.INTL(ProjectStart,Tasks[[#This Row],[_ShownFcstFinish]],WorkWeek,Holidays)),0)</f>
        <v>0</v>
      </c>
      <c r="FT200" s="42" t="n">
        <f aca="false">IF(AND(Tasks[[#This Row],[_IsLeaf]]=1,Tasks[[#This Row],[_LeafTotalWork]]&gt;0),Tasks[[#This Row],[_LeafWork]]/(Tasks[[#This Row],[_FinishWorkday]]-Tasks[[#This Row],[_StartWorkday]]+1),0)</f>
        <v>0</v>
      </c>
      <c r="FU200" s="42" t="n">
        <f aca="false">Tasks[[#This Row],[_WorkPerWorkday]]*(Tasks[[#This Row],[_StartWorkday]]-1)</f>
        <v>-0</v>
      </c>
      <c r="FV200" s="42" t="n">
        <f aca="false">IF(Tasks[[#This Row],[_IsLeaf]]=1,MAX(N(Tasks[[#This Row],[_Days]]),0.1),0)</f>
        <v>0</v>
      </c>
      <c r="FW200" s="42" t="n">
        <f aca="false">Tasks[[#This Row],[_WeightDur]]*Tasks[[#This Row],[_LeafProgress]]</f>
        <v>0</v>
      </c>
      <c r="FX200" s="42" t="n">
        <f aca="false">Tasks[[#This Row],[_WeightDur]]*Tasks[[#This Row],[_PlannedPct]]</f>
        <v>0</v>
      </c>
      <c r="FY2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0" s="42" t="str">
        <f aca="false">IF(AND(Tasks[[#This Row],[_IsLeaf]]=1,N(Tasks[[#This Row],[_Days]])=0,Tasks[[#This Row],[_LeafProgress]]&lt;1),Tasks[[#This Row],[_ShownFcstFinish]]+Tasks[[#This Row],[_Row]]/100000,"")</f>
        <v/>
      </c>
      <c r="GA2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0" s="42" t="str">
        <f aca="false">IF(Tasks[[#This Row],[Task Name]]="","",LEFT(Tasks[[#This Row],[WBS]],FIND(".",Tasks[[#This Row],[WBS]]&amp;".")-1))</f>
        <v/>
      </c>
      <c r="GC200" s="42" t="str">
        <f aca="false">IF(AND(Tasks[[#This Row],[Task Name]]&lt;&gt;"",Tasks[[#This Row],[_Level]]=1),Tasks[[#This Row],[_Row]],"")</f>
        <v/>
      </c>
      <c r="GD200" s="42" t="str">
        <f aca="false">IF(AND(Tasks[[#This Row],[_IsLeaf]]=1,N(Tasks[[#This Row],[_Days]])=0),Tasks[[#This Row],[Planned Finish]]+Tasks[[#This Row],[_Row]]/100000,"")</f>
        <v/>
      </c>
      <c r="GE200" s="42" t="str">
        <f aca="false">IF(AND(Tasks[[#This Row],[_IsLeaf]]=1,Tasks[[#This Row],[_LeafProgress]]&lt;1,OR(N(Tasks[[#This Row],[Finish Var]])&gt;0,Tasks[[#This Row],[Status]]="Late Start")),MAX(0,Tasks[[#This Row],[Finish Var]])+1-Tasks[[#This Row],[_Row]]/1000000,"")</f>
        <v/>
      </c>
      <c r="GF200" s="42" t="str">
        <f aca="false">IF(AND(Tasks[[#This Row],[_IsLeaf]]=1,N(Tasks[[#This Row],[Actual Start]])=0,Tasks[[#This Row],[_ShownFcstStart]]&gt;=StatusDate,Tasks[[#This Row],[_ShownFcstStart]]&lt;=LookaheadEnd),Tasks[[#This Row],[_ShownFcstStart]]+Tasks[[#This Row],[_Row]]/100000,"")</f>
        <v/>
      </c>
      <c r="GG200" s="42" t="str">
        <f aca="false">IF(AND(Tasks[[#This Row],[_IsLeaf]]=1,Tasks[[#This Row],[_LeafProgress]]&lt;1,Tasks[[#This Row],[_ShownFcstFinish]]&gt;=StatusDate,Tasks[[#This Row],[_ShownFcstFinish]]&lt;=LookaheadEnd),Tasks[[#This Row],[_ShownFcstFinish]]+Tasks[[#This Row],[_Row]]/100000,"")</f>
        <v/>
      </c>
      <c r="GH200" s="42" t="str">
        <f aca="false">IF(Tasks[[#This Row],[_LeafCritical]],Tasks[[#This Row],[_ShownFcstStart]]+Tasks[[#This Row],[_Row]]/100000,"")</f>
        <v/>
      </c>
      <c r="GI200" s="42" t="n">
        <f aca="false">Tasks[[#This Row],[_LeafWork]]*Tasks[[#This Row],[_LeafProgress]]</f>
        <v>0</v>
      </c>
      <c r="GJ200" s="89" t="str">
        <f aca="false">IF(AND(Tasks[[#This Row],[_IsLeaf]]=1,Tasks[[#This Row],[_LeafProgress]]&gt;=1),IF(N(Tasks[[#This Row],[Actual Finish]])&gt;0,Tasks[[#This Row],[Actual Finish]],Tasks[[#This Row],[_ShownFcstFinish]]),"")</f>
        <v/>
      </c>
      <c r="GK200" s="42" t="n">
        <f aca="false">IF(Tasks[[#This Row],[_IsLeaf]]=1,N(Tasks[[#This Row],[Story Points]]),0)</f>
        <v>0</v>
      </c>
      <c r="GL200" s="42" t="str">
        <f aca="false">""</f>
        <v/>
      </c>
      <c r="GM200" s="88" t="b">
        <f aca="false">IF(Tasks[[#This Row],[Task Name]]="",FALSE(),AND(Tasks[[#This Row],[_IsLeaf]]=1,N(Tasks[[#This Row],[_Days]])=0))</f>
        <v>0</v>
      </c>
      <c r="GN200" s="89" t="n">
        <f aca="false">IF(Tasks[[#This Row],[Task Name]]="",0,IF(AND(Tasks[[#This Row],[_IsLeaf]]=1,NOT(Tasks[[#This Row],[_IsMilestone]]),N(Tasks[[#This Row],[Progress]])&gt;0),Tasks[[#This Row],[Start]],0))</f>
        <v>0</v>
      </c>
      <c r="GO200" s="89" t="n">
        <f aca="false">IF(Tasks[[#This Row],[_DoneFrom]]=0,0,IF(Tasks[[#This Row],[Progress]]&gt;=1,Tasks[[#This Row],[Finish]],MAX(Tasks[[#This Row],[_DoneFrom]],Tasks[[#This Row],[Start]]+ROUND((Tasks[[#This Row],[Finish]]-Tasks[[#This Row],[Start]]+1)*Tasks[[#This Row],[Progress]],0)-1)))</f>
        <v>0</v>
      </c>
      <c r="GP200" s="89" t="n">
        <f aca="false">IF(Tasks[[#This Row],[Task Name]]="",0,IF(OR(NOT(Tasks[[#This Row],[_IsLeaf]]=1),Tasks[[#This Row],[_IsMilestone]],N(Tasks[[#This Row],[Progress]])&gt;=1),0,IF(Tasks[[#This Row],[_DoneTo]]&gt;0,Tasks[[#This Row],[_DoneTo]]+1,Tasks[[#This Row],[Start]])))</f>
        <v>0</v>
      </c>
      <c r="GQ200" s="89" t="n">
        <f aca="false">IF(Tasks[[#This Row],[_RemFrom]]=0,0,Tasks[[#This Row],[Finish]])</f>
        <v>0</v>
      </c>
      <c r="GR200" s="88" t="b">
        <f aca="false">IF(Tasks[[#This Row],[Task Name]]="",FALSE(),OR(NOT(BaselineSet),N(Tasks[[#This Row],[Baseline Start]])&gt;0))</f>
        <v>0</v>
      </c>
      <c r="GS2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0" s="90" t="str">
        <f aca="false">IF(Tasks[[#This Row],[_IsLeaf]]=1,Tasks[[#This Row],[_Row]],"")</f>
        <v/>
      </c>
      <c r="GW200" s="90" t="str">
        <f aca="false">IFERROR(INDEX(Tasks[UID],SMALL(Tasks[_PickKey],Tasks[[#This Row],[_Row]]))&amp;" "&amp;INDEX(Tasks[Task Name],SMALL(Tasks[_PickKey],Tasks[[#This Row],[_Row]])),"")</f>
        <v/>
      </c>
      <c r="GX200" s="42" t="str">
        <f aca="false">IF(Tasks[[#This Row],[Task Name]]="","",IF(Tasks[[#This Row],[_IsSummary]],NETWORKDAYS.INTL(Tasks[[#This Row],[Start]],Tasks[[#This Row],[Finish]],WorkWeek,Holidays),N(Tasks[[#This Row],[_Days]])))</f>
        <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3"/>
      <c r="U201" s="23"/>
      <c r="V201" s="83"/>
      <c r="W201" s="23"/>
      <c r="X201" s="83"/>
      <c r="Y201" s="23"/>
      <c r="Z201" s="83"/>
      <c r="AA201" s="23"/>
      <c r="AB201" s="23"/>
      <c r="AC201" s="7"/>
      <c r="AD201" s="7"/>
      <c r="AE201" s="62" t="str">
        <f aca="false">IF(Tasks[[#This Row],[Task Name]]="","",IF(Tasks[[#This Row],[_IsSummary]],MIN(INDEX(Tasks[_ShownFcstStart],Tasks[[#This Row],[_Row]]+1):INDEX(Tasks[_ShownFcstStart],Tasks[[#This Row],[_Row]]+Tasks[[#This Row],[_Descendants]])),Tasks[[#This Row],[_ShownFcstStart]]))</f>
        <v/>
      </c>
      <c r="AF201" s="62"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1" s="7"/>
      <c r="AK201" s="22"/>
      <c r="AL201" s="23"/>
      <c r="AM201" s="7"/>
      <c r="AN201" s="46"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2" t="str">
        <f aca="false">IF(Tasks[[#This Row],[Task Name]]="","",IF(N(Tasks[[#This Row],[Baseline Start]])&gt;0,Tasks[[#This Row],[Baseline Start]],Tasks[[#This Row],[_CalcStart]]))</f>
        <v/>
      </c>
      <c r="AR201" s="62" t="str">
        <f aca="false">IF(Tasks[[#This Row],[Task Name]]="","",IF(N(Tasks[[#This Row],[Baseline Finish]])&gt;0,Tasks[[#This Row],[Baseline Finish]],Tasks[[#This Row],[_CalcFinish]]))</f>
        <v/>
      </c>
      <c r="AS201" s="46" t="str">
        <f aca="false">IF(Tasks[[#This Row],[Task Name]]="","",IF(Tasks[[#This Row],[Start]]&gt;=Tasks[[#This Row],[Planned Start]],NETWORKDAYS.INTL(Tasks[[#This Row],[Planned Start]],Tasks[[#This Row],[Start]],WorkWeek,Holidays)-1,1-NETWORKDAYS.INTL(Tasks[[#This Row],[Start]],Tasks[[#This Row],[Planned Start]],WorkWeek,Holidays)))</f>
        <v/>
      </c>
      <c r="AT201" s="62" t="str">
        <f aca="false">IF(Tasks[[#This Row],[Task Name]]="","",IF(Tasks[[#This Row],[_IsSummary]],MIN(INDEX(Tasks[_LeafLateStart],Tasks[[#This Row],[_Row]]+1):INDEX(Tasks[_LeafLateStart],Tasks[[#This Row],[_Row]]+Tasks[[#This Row],[_Descendants]])),Tasks[[#This Row],[_LeafLateStart]]))</f>
        <v/>
      </c>
      <c r="AU201" s="62" t="str">
        <f aca="false">IF(Tasks[[#This Row],[Task Name]]="","",IF(Tasks[[#This Row],[_IsSummary]],MAX(INDEX(Tasks[_LeafLateFinish],Tasks[[#This Row],[_Row]]+1):INDEX(Tasks[_LeafLateFinish],Tasks[[#This Row],[_Row]]+Tasks[[#This Row],[_Descendants]])),Tasks[[#This Row],[_LeafLateFinish]]))</f>
        <v/>
      </c>
      <c r="AV201" s="46"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4"/>
      <c r="BA2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5"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6"/>
      <c r="BJ201" s="22"/>
      <c r="BK201" s="46" t="str">
        <f aca="false">IF(OR(Tasks[[#This Row],[Task Name]]="",Tasks[[#This Row],[Baseline Duration]]=""),"",Tasks[[#This Row],[_SpanDays]]-N(Tasks[[#This Row],[Baseline Duration]]))</f>
        <v/>
      </c>
      <c r="BL201" s="85" t="str">
        <f aca="false">IF(OR(Tasks[[#This Row],[Task Name]]="",Tasks[[#This Row],[Baseline Work]]=""),"",Tasks[[#This Row],[Work]]-N(Tasks[[#This Row],[Baseline Work]]))</f>
        <v/>
      </c>
      <c r="BM201" s="62" t="str">
        <f aca="false">IF(Tasks[[#This Row],[Task Name]]="","",IF(OR(TakeBaseline="Yes",N(Tasks[[#This Row],[Baseline Start]])=0),Tasks[[#This Row],[Start]],Tasks[[#This Row],[Baseline Start]]))</f>
        <v/>
      </c>
      <c r="BN201" s="62"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5" t="str">
        <f aca="false">IF(Tasks[[#This Row],[Task Name]]="","",IF(OR(TakeBaseline="Yes",N(Tasks[[#This Row],[Baseline Work]])=0),Tasks[[#This Row],[Work]],Tasks[[#This Row],[Baseline Work]]))</f>
        <v/>
      </c>
      <c r="BQ201" s="7"/>
      <c r="BR201" s="7"/>
      <c r="BS201" s="22"/>
      <c r="BT201" s="87"/>
      <c r="BU201" s="42" t="str">
        <f aca="false">IF(Tasks[[#This Row],[Task Name]]="","",MAX(1,N(Tasks[[#This Row],[Level]])))</f>
        <v/>
      </c>
      <c r="BV201" s="42" t="n">
        <f aca="false">ROW()-ROW(Tasks[[#Headers],[ID]])</f>
        <v>196</v>
      </c>
      <c r="BW201" s="42" t="n">
        <f aca="false">IF(OR(Tasks[[#This Row],[Task Name]]="",Tasks[[#This Row],[_Level]]&lt;=1),0,IFERROR(LOOKUP(2,1/(Tasks[[#Headers],[_Level]]:Tasks[[#This Row],[_Level]]=Tasks[[#This Row],[_Level]]-1),ROW(Tasks[[#Headers],[_Level]]:Tasks[[#This Row],[_Level]])),0))</f>
        <v>0</v>
      </c>
      <c r="BX201" s="42" t="n">
        <f aca="false">IFERROR(N(INDEX(Tasks[_Level],Tasks[[#This Row],[_Row]]+1)),0)</f>
        <v>0</v>
      </c>
      <c r="BY201" s="88" t="b">
        <f aca="false">AND(Tasks[[#This Row],[Task Name]]&lt;&gt;"",Tasks[[#This Row],[_NextLevel]]&gt;Tasks[[#This Row],[_Level]])</f>
        <v>0</v>
      </c>
      <c r="BZ201" s="42" t="n">
        <f aca="false">IF(Tasks[[#This Row],[_IsSummary]],COUNTIF(Tasks[WBS],Tasks[[#This Row],[WBS]]&amp;".*"),0)</f>
        <v>0</v>
      </c>
      <c r="CA201" s="42" t="n">
        <f aca="false">IF(AND(Tasks[[#This Row],[Task Name]]&lt;&gt;"",NOT(Tasks[[#This Row],[_IsSummary]])),1,0)</f>
        <v>0</v>
      </c>
      <c r="CB201" s="42" t="n">
        <f aca="false">IF(N(Tasks[[#This Row],[_Pred1UID]])=0,0,IFERROR(MATCH(Tasks[[#This Row],[_Pred1UID]],Tasks[UID],0),-1))</f>
        <v>0</v>
      </c>
      <c r="CC201" s="42" t="n">
        <f aca="false">IF(N(Tasks[[#This Row],[_Pred2UID]])=0,0,IFERROR(MATCH(Tasks[[#This Row],[_Pred2UID]],Tasks[UID],0),-1))</f>
        <v>0</v>
      </c>
      <c r="CD201" s="42" t="n">
        <f aca="false">IF(N(Tasks[[#This Row],[_Pred3UID]])=0,0,IFERROR(MATCH(Tasks[[#This Row],[_Pred3UID]],Tasks[UID],0),-1))</f>
        <v>0</v>
      </c>
      <c r="CE201" s="42" t="n">
        <f aca="false">IF(N(Tasks[[#This Row],[_Pred4UID]])=0,0,IFERROR(MATCH(Tasks[[#This Row],[_Pred4UID]],Tasks[UID],0),-1))</f>
        <v>0</v>
      </c>
      <c r="CF2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1" s="89" t="n">
        <f aca="false">IF(OR(Tasks[[#This Row],[_ConstraintCode]]=2,Tasks[[#This Row],[_ConstraintCode]]=3,Tasks[[#This Row],[_ConstraintCode]]=4,Tasks[[#This Row],[_ConstraintCode]]=6),Tasks[[#This Row],[_ConstraintStart]],0)</f>
        <v>0</v>
      </c>
      <c r="CI201" s="89" t="n">
        <f aca="false">IF(OR(Tasks[[#This Row],[_ConstraintCode]]=2,Tasks[[#This Row],[_ConstraintCode]]=3,Tasks[[#This Row],[_ConstraintCode]]=5,Tasks[[#This Row],[_ConstraintCode]]=7),Tasks[[#This Row],[_ConstraintStart]],2958465)</f>
        <v>2958465</v>
      </c>
      <c r="CJ2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1" s="89" t="str">
        <f aca="false">IF(NOT(Tasks[[#This Row],[_IsLeaf]]=1),"",IF(N(Tasks[[#This Row],[_Days]])&lt;=0,Tasks[[#This Row],[_LeafCalcStart]],WORKDAY.INTL(Tasks[[#This Row],[_LeafCalcStart]],Tasks[[#This Row],[_Days]]-1,WorkWeek,Holidays)))</f>
        <v/>
      </c>
      <c r="CL2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1" s="42" t="str">
        <f aca="false">IF(Tasks[[#This Row],[_Predecessors]]="","",TRIM(MID(SUBSTITUTE(SUBSTITUTE(SUBSTITUTE(UPPER(Tasks[[#This Row],[_Predecessors]]),";",",")," ",""),",",REPT(" ",99)),1,99)))</f>
        <v/>
      </c>
      <c r="CO201" s="42" t="str">
        <f aca="false">IF(Tasks[[#This Row],[_Pred1Text]]="","",IFERROR(VALUE(LEFT(Tasks[[#This Row],[_Pred1Text]],MIN(FIND("F",Tasks[[#This Row],[_Pred1Text]]&amp;"F"),FIND("S",Tasks[[#This Row],[_Pred1Text]]&amp;"S"),FIND("+",Tasks[[#This Row],[_Pred1Text]]&amp;"+"),FIND("-",Tasks[[#This Row],[_Pred1Text]]&amp;"-"))-1)),""))</f>
        <v/>
      </c>
      <c r="CP2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1" s="42" t="str">
        <f aca="false">IF(Tasks[[#This Row],[_Pred1Text]]="","",TRIM(MID(SUBSTITUTE(SUBSTITUTE(SUBSTITUTE(UPPER(Tasks[[#This Row],[_Predecessors]]),";",",")," ",""),",",REPT(" ",99)),100,99)))</f>
        <v/>
      </c>
      <c r="CS201" s="42" t="str">
        <f aca="false">IF(Tasks[[#This Row],[_Pred2Text]]="","",IFERROR(VALUE(LEFT(Tasks[[#This Row],[_Pred2Text]],MIN(FIND("F",Tasks[[#This Row],[_Pred2Text]]&amp;"F"),FIND("S",Tasks[[#This Row],[_Pred2Text]]&amp;"S"),FIND("+",Tasks[[#This Row],[_Pred2Text]]&amp;"+"),FIND("-",Tasks[[#This Row],[_Pred2Text]]&amp;"-"))-1)),""))</f>
        <v/>
      </c>
      <c r="CT2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1" s="42" t="str">
        <f aca="false">IF(Tasks[[#This Row],[_Pred2Text]]="","",TRIM(MID(SUBSTITUTE(SUBSTITUTE(SUBSTITUTE(UPPER(Tasks[[#This Row],[_Predecessors]]),";",",")," ",""),",",REPT(" ",99)),199,99)))</f>
        <v/>
      </c>
      <c r="CW201" s="42" t="str">
        <f aca="false">IF(Tasks[[#This Row],[_Pred3Text]]="","",IFERROR(VALUE(LEFT(Tasks[[#This Row],[_Pred3Text]],MIN(FIND("F",Tasks[[#This Row],[_Pred3Text]]&amp;"F"),FIND("S",Tasks[[#This Row],[_Pred3Text]]&amp;"S"),FIND("+",Tasks[[#This Row],[_Pred3Text]]&amp;"+"),FIND("-",Tasks[[#This Row],[_Pred3Text]]&amp;"-"))-1)),""))</f>
        <v/>
      </c>
      <c r="CX2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1" s="42" t="str">
        <f aca="false">IF(Tasks[[#This Row],[_Pred3Text]]="","",TRIM(MID(SUBSTITUTE(SUBSTITUTE(SUBSTITUTE(UPPER(Tasks[[#This Row],[_Predecessors]]),";",",")," ",""),",",REPT(" ",99)),298,99)))</f>
        <v/>
      </c>
      <c r="DA201" s="42" t="str">
        <f aca="false">IF(Tasks[[#This Row],[_Pred4Text]]="","",IFERROR(VALUE(LEFT(Tasks[[#This Row],[_Pred4Text]],MIN(FIND("F",Tasks[[#This Row],[_Pred4Text]]&amp;"F"),FIND("S",Tasks[[#This Row],[_Pred4Text]]&amp;"S"),FIND("+",Tasks[[#This Row],[_Pred4Text]]&amp;"+"),FIND("-",Tasks[[#This Row],[_Pred4Text]]&amp;"-"))-1)),""))</f>
        <v/>
      </c>
      <c r="DB2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1" s="42" t="str">
        <f aca="false">IF(OR(Tasks[[#This Row],[Task Name]]="",Tasks[[#This Row],[_Resources]]=""),"",TRIM(MID(SUBSTITUTE(Tasks[[#This Row],[_Resources]],",",REPT(" ",99)),1,99)))</f>
        <v/>
      </c>
      <c r="DE201" s="42" t="str">
        <f aca="false">IF(Tasks[[#This Row],[_Res1Text]]="","",TRIM(MID(SUBSTITUTE(Tasks[[#This Row],[_Resources]],",",REPT(" ",99)),100,99)))</f>
        <v/>
      </c>
      <c r="DF201" s="42" t="str">
        <f aca="false">IF(Tasks[[#This Row],[_Res2Text]]="","",TRIM(MID(SUBSTITUTE(Tasks[[#This Row],[_Resources]],",",REPT(" ",99)),199,99)))</f>
        <v/>
      </c>
      <c r="DG201" s="42" t="str">
        <f aca="false">IF(Tasks[[#This Row],[_Res3Text]]="","",TRIM(MID(SUBSTITUTE(Tasks[[#This Row],[_Resources]],",",REPT(" ",99)),298,99)))</f>
        <v/>
      </c>
      <c r="DH201" s="42" t="n">
        <f aca="false">IF(Tasks[[#This Row],[_Res1Text]]="",0,IFERROR(MATCH(TRIM(LEFT(Tasks[[#This Row],[_Res1Text]],FIND("[",Tasks[[#This Row],[_Res1Text]]&amp;"[")-1)),res_Name,0),IFERROR(MATCH(TRIM(LEFT(Tasks[[#This Row],[_Res1Text]],FIND("[",Tasks[[#This Row],[_Res1Text]]&amp;"[")-1)),res_Initials,0),0)))</f>
        <v>0</v>
      </c>
      <c r="DI201" s="42" t="n">
        <f aca="false">IF(Tasks[[#This Row],[_Res2Text]]="",0,IFERROR(MATCH(TRIM(LEFT(Tasks[[#This Row],[_Res2Text]],FIND("[",Tasks[[#This Row],[_Res2Text]]&amp;"[")-1)),res_Name,0),IFERROR(MATCH(TRIM(LEFT(Tasks[[#This Row],[_Res2Text]],FIND("[",Tasks[[#This Row],[_Res2Text]]&amp;"[")-1)),res_Initials,0),0)))</f>
        <v>0</v>
      </c>
      <c r="DJ201" s="42" t="n">
        <f aca="false">IF(Tasks[[#This Row],[_Res3Text]]="",0,IFERROR(MATCH(TRIM(LEFT(Tasks[[#This Row],[_Res3Text]],FIND("[",Tasks[[#This Row],[_Res3Text]]&amp;"[")-1)),res_Name,0),IFERROR(MATCH(TRIM(LEFT(Tasks[[#This Row],[_Res3Text]],FIND("[",Tasks[[#This Row],[_Res3Text]]&amp;"[")-1)),res_Initials,0),0)))</f>
        <v>0</v>
      </c>
      <c r="DK201" s="42" t="n">
        <f aca="false">IF(Tasks[[#This Row],[_Res4Text]]="",0,IFERROR(MATCH(TRIM(LEFT(Tasks[[#This Row],[_Res4Text]],FIND("[",Tasks[[#This Row],[_Res4Text]]&amp;"[")-1)),res_Name,0),IFERROR(MATCH(TRIM(LEFT(Tasks[[#This Row],[_Res4Text]],FIND("[",Tasks[[#This Row],[_Res4Text]]&amp;"[")-1)),res_Initials,0),0)))</f>
        <v>0</v>
      </c>
      <c r="DL201" s="42" t="str">
        <f aca="false">IF(Tasks[[#This Row],[_Res1Text]]="","",IF(Tasks[[#This Row],[_Res1Row]]&gt;0,INDEX(res_Name,Tasks[[#This Row],[_Res1Row]]),TRIM(LEFT(Tasks[[#This Row],[_Res1Text]],FIND("[",Tasks[[#This Row],[_Res1Text]]&amp;"[")-1))))</f>
        <v/>
      </c>
      <c r="DM2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1" s="42" t="n">
        <f aca="false">IF(NOT(Tasks[[#This Row],[_IsLeaf]]=1),0,(Tasks[[#This Row],[_Resource1]]&lt;&gt;"")+(Tasks[[#This Row],[_Res2]]&lt;&gt;"")+(Tasks[[#This Row],[_Res3]]&lt;&gt;"")+(Tasks[[#This Row],[_Res4]]&lt;&gt;""))</f>
        <v>0</v>
      </c>
      <c r="DO201" s="42" t="str">
        <f aca="false">IF(Tasks[[#This Row],[_Res2Text]]="","",IF(Tasks[[#This Row],[_Res2Row]]&gt;0,INDEX(res_Name,Tasks[[#This Row],[_Res2Row]]),TRIM(LEFT(Tasks[[#This Row],[_Res2Text]],FIND("[",Tasks[[#This Row],[_Res2Text]]&amp;"[")-1))))</f>
        <v/>
      </c>
      <c r="DP2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1" s="42" t="n">
        <f aca="false">IF(OR(NOT(Tasks[[#This Row],[_IsLeaf]]=1),Tasks[[#This Row],[_Res2Row]]=0),0,N(Tasks[[#This Row],[_Days]])*HoursPerDay*IF(Tasks[[#This Row],[_Res2Units]]="",DefaultUnits,Tasks[[#This Row],[_Res2Units]]))</f>
        <v>0</v>
      </c>
      <c r="DR201" s="42" t="n">
        <f aca="false">IF(AND(AND(Tasks[[#This Row],[_IsLeaf]]=1,Tasks[[#This Row],[_LeafTotalWork]]&gt;0),Tasks[[#This Row],[_Res2Work]]&gt;0),Tasks[[#This Row],[_Res2Work]]/(Tasks[[#This Row],[_FinishWorkday]]-Tasks[[#This Row],[_StartWorkday]]+1),0)</f>
        <v>0</v>
      </c>
      <c r="DS201" s="42" t="n">
        <f aca="false">Tasks[[#This Row],[_Res2WorkPerWD]]*MAX(0,Tasks[[#This Row],[_StartWorkday]]-1)</f>
        <v>0</v>
      </c>
      <c r="DT201" s="42" t="n">
        <f aca="false">Tasks[[#This Row],[_Res2Work]]*Tasks[[#This Row],[_LeafProgress]]</f>
        <v>0</v>
      </c>
      <c r="DU201" s="42" t="str">
        <f aca="false">IF(Tasks[[#This Row],[_Res3Text]]="","",IF(Tasks[[#This Row],[_Res3Row]]&gt;0,INDEX(res_Name,Tasks[[#This Row],[_Res3Row]]),TRIM(LEFT(Tasks[[#This Row],[_Res3Text]],FIND("[",Tasks[[#This Row],[_Res3Text]]&amp;"[")-1))))</f>
        <v/>
      </c>
      <c r="DV2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1" s="42" t="n">
        <f aca="false">IF(OR(NOT(Tasks[[#This Row],[_IsLeaf]]=1),Tasks[[#This Row],[_Res3Row]]=0),0,N(Tasks[[#This Row],[_Days]])*HoursPerDay*IF(Tasks[[#This Row],[_Res3Units]]="",DefaultUnits,Tasks[[#This Row],[_Res3Units]]))</f>
        <v>0</v>
      </c>
      <c r="DX201" s="42" t="n">
        <f aca="false">IF(AND(AND(Tasks[[#This Row],[_IsLeaf]]=1,Tasks[[#This Row],[_LeafTotalWork]]&gt;0),Tasks[[#This Row],[_Res3Work]]&gt;0),Tasks[[#This Row],[_Res3Work]]/(Tasks[[#This Row],[_FinishWorkday]]-Tasks[[#This Row],[_StartWorkday]]+1),0)</f>
        <v>0</v>
      </c>
      <c r="DY201" s="42" t="n">
        <f aca="false">Tasks[[#This Row],[_Res3WorkPerWD]]*MAX(0,Tasks[[#This Row],[_StartWorkday]]-1)</f>
        <v>0</v>
      </c>
      <c r="DZ201" s="42" t="n">
        <f aca="false">Tasks[[#This Row],[_Res3Work]]*Tasks[[#This Row],[_LeafProgress]]</f>
        <v>0</v>
      </c>
      <c r="EA201" s="42" t="str">
        <f aca="false">IF(Tasks[[#This Row],[_Res4Text]]="","",IF(Tasks[[#This Row],[_Res4Row]]&gt;0,INDEX(res_Name,Tasks[[#This Row],[_Res4Row]]),TRIM(LEFT(Tasks[[#This Row],[_Res4Text]],FIND("[",Tasks[[#This Row],[_Res4Text]]&amp;"[")-1))))</f>
        <v/>
      </c>
      <c r="EB2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1" s="42" t="n">
        <f aca="false">IF(OR(NOT(Tasks[[#This Row],[_IsLeaf]]=1),Tasks[[#This Row],[_Res4Row]]=0),0,N(Tasks[[#This Row],[_Days]])*HoursPerDay*IF(Tasks[[#This Row],[_Res4Units]]="",DefaultUnits,Tasks[[#This Row],[_Res4Units]]))</f>
        <v>0</v>
      </c>
      <c r="ED201" s="42" t="n">
        <f aca="false">IF(AND(AND(Tasks[[#This Row],[_IsLeaf]]=1,Tasks[[#This Row],[_LeafTotalWork]]&gt;0),Tasks[[#This Row],[_Res4Work]]&gt;0),Tasks[[#This Row],[_Res4Work]]/(Tasks[[#This Row],[_FinishWorkday]]-Tasks[[#This Row],[_StartWorkday]]+1),0)</f>
        <v>0</v>
      </c>
      <c r="EE201" s="42" t="n">
        <f aca="false">Tasks[[#This Row],[_Res4WorkPerWD]]*MAX(0,Tasks[[#This Row],[_StartWorkday]]-1)</f>
        <v>0</v>
      </c>
      <c r="EF201" s="42" t="n">
        <f aca="false">Tasks[[#This Row],[_Res4Work]]*Tasks[[#This Row],[_LeafProgress]]</f>
        <v>0</v>
      </c>
      <c r="EG201" s="42" t="n">
        <f aca="false">IF(ISNUMBER(Tasks[[#This Row],[% Complete]]),Tasks[[#This Row],[% Complete]],IF(Tasks[[#This Row],[Stage]]="",0,IFERROR(INDEX(stg_Pct,MATCH(Tasks[[#This Row],[Stage]],stg_Name,0)),0)))</f>
        <v>0</v>
      </c>
      <c r="EH201" s="42" t="n">
        <f aca="false">IF(NOT(Tasks[[#This Row],[_IsLeaf]]=1),0,IF(N(Tasks[[#This Row],[Actual Finish]])&gt;0,1,MIN(1,Tasks[[#This Row],[_Pct]])))</f>
        <v>0</v>
      </c>
      <c r="EI201" s="42" t="n">
        <f aca="false">IF(OR(NOT(Tasks[[#This Row],[_IsLeaf]]=1),Tasks[[#This Row],[_Res1Row]]=0),0,N(Tasks[[#This Row],[_Days]])*HoursPerDay*IF(Tasks[[#This Row],[_Units1]]="",DefaultUnits,Tasks[[#This Row],[_Units1]]))</f>
        <v>0</v>
      </c>
      <c r="EJ201" s="42" t="n">
        <f aca="false">Tasks[[#This Row],[_LeafWork]]+Tasks[[#This Row],[_Res2Work]]+Tasks[[#This Row],[_Res3Work]]+Tasks[[#This Row],[_Res4Work]]</f>
        <v>0</v>
      </c>
      <c r="EK2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1" s="42" t="n">
        <f aca="false">IF(NOT(Tasks[[#This Row],[_IsLeaf]]=1),0,MAX(_xlfn.MAXIFS(Tasks[_Row],Tasks[_Pred1UID],Tasks[[#This Row],[UID]]),_xlfn.MAXIFS(Tasks[_Row],Tasks[_Pred2UID],Tasks[[#This Row],[UID]]),_xlfn.MAXIFS(Tasks[_Row],Tasks[_Pred3UID],Tasks[[#This Row],[UID]]),_xlfn.MAXIFS(Tasks[_Row],Tasks[_Pred4UID],Tasks[[#This Row],[UID]])))</f>
        <v>0</v>
      </c>
      <c r="ET2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1" s="89" t="str">
        <f aca="false">IF(NOT(Tasks[[#This Row],[_IsLeaf]]=1),"",IF(N(Tasks[[#This Row],[_Days]])&lt;=0,Tasks[[#This Row],[_LeafLateFinish]],WORKDAY.INTL(Tasks[[#This Row],[_LeafLateFinish]],-(Tasks[[#This Row],[_Days]]-1),WorkWeek,Holidays)))</f>
        <v/>
      </c>
      <c r="EW2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1" s="88" t="b">
        <f aca="false">AND(Tasks[[#This Row],[_IsLeaf]]=1,Tasks[[#This Row],[_LeafProgress]]&lt;1,N(Tasks[[#This Row],[_LeafTotalSlack]])&lt;=CriticalSlackDays)</f>
        <v>0</v>
      </c>
      <c r="EY201" s="42" t="n">
        <f aca="false">IF(AND(Tasks[[#This Row],[_IsLeaf]]=1,Tasks[[#This Row],[_ConstraintCode]]=1,Tasks[[#This Row],[Mode]]&lt;&gt;"Manual",N(Tasks[[#This Row],[Actual Start]])=0),MAX(0,N(Tasks[[#This Row],[Free Slack]])),0)</f>
        <v>0</v>
      </c>
      <c r="EZ201" s="89" t="str">
        <f aca="false">IF(NOT(Tasks[[#This Row],[_IsLeaf]]=1),"",IF(Tasks[[#This Row],[_AlapShift]]=0,Tasks[[#This Row],[_LeafCalcStart]],WORKDAY.INTL(Tasks[[#This Row],[_LeafCalcStart]],Tasks[[#This Row],[_AlapShift]],WorkWeek,Holidays)))</f>
        <v/>
      </c>
      <c r="FA201" s="89" t="str">
        <f aca="false">IF(NOT(Tasks[[#This Row],[_IsLeaf]]=1),"",IF(Tasks[[#This Row],[_AlapShift]]=0,Tasks[[#This Row],[_LeafCalcFinish]],WORKDAY.INTL(Tasks[[#This Row],[_LeafCalcFinish]],Tasks[[#This Row],[_AlapShift]],WorkWeek,Holidays)))</f>
        <v/>
      </c>
      <c r="FB201" s="89" t="str">
        <f aca="false">IF(NOT(Tasks[[#This Row],[_IsLeaf]]=1),"",IF(Tasks[[#This Row],[_AlapShift]]=0,Tasks[[#This Row],[_LeafFcstStart]],WORKDAY.INTL(Tasks[[#This Row],[_LeafFcstStart]],Tasks[[#This Row],[_AlapShift]],WorkWeek,Holidays)))</f>
        <v/>
      </c>
      <c r="FC201" s="89" t="str">
        <f aca="false">IF(NOT(Tasks[[#This Row],[_IsLeaf]]=1),"",IF(Tasks[[#This Row],[_AlapShift]]=0,Tasks[[#This Row],[_LeafFcstFinish]],WORKDAY.INTL(Tasks[[#This Row],[_LeafFcstFinish]],Tasks[[#This Row],[_AlapShift]],WorkWeek,Holidays)))</f>
        <v/>
      </c>
      <c r="FD201" s="89" t="str">
        <f aca="false">IF(Tasks[[#This Row],[Task Name]]="","",IF(Tasks[[#This Row],[_IsSummary]],MIN(INDEX(Tasks[_ShownCalcStart],Tasks[[#This Row],[_Row]]+1):INDEX(Tasks[_ShownCalcStart],Tasks[[#This Row],[_Row]]+Tasks[[#This Row],[_Descendants]])),Tasks[[#This Row],[_ShownCalcStart]]))</f>
        <v/>
      </c>
      <c r="FE201" s="89" t="str">
        <f aca="false">IF(Tasks[[#This Row],[Task Name]]="","",IF(Tasks[[#This Row],[_IsSummary]],MAX(INDEX(Tasks[_ShownCalcFinish],Tasks[[#This Row],[_Row]]+1):INDEX(Tasks[_ShownCalcFinish],Tasks[[#This Row],[_Row]]+Tasks[[#This Row],[_Descendants]])),Tasks[[#This Row],[_ShownCalcFinish]]))</f>
        <v/>
      </c>
      <c r="FF2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1" s="42" t="n">
        <f aca="false">IF(AND(Tasks[[#This Row],[_IsLeaf]]=1,Tasks[[#This Row],[_LeafTotalWork]]&gt;0),NETWORKDAYS.INTL(ProjectStart,Tasks[[#This Row],[_ShownFcstStart]],WorkWeek,Holidays),0)</f>
        <v>0</v>
      </c>
      <c r="FS201" s="42" t="n">
        <f aca="false">IF(AND(Tasks[[#This Row],[_IsLeaf]]=1,Tasks[[#This Row],[_LeafTotalWork]]&gt;0),MAX(Tasks[[#This Row],[_StartWorkday]],NETWORKDAYS.INTL(ProjectStart,Tasks[[#This Row],[_ShownFcstFinish]],WorkWeek,Holidays)),0)</f>
        <v>0</v>
      </c>
      <c r="FT201" s="42" t="n">
        <f aca="false">IF(AND(Tasks[[#This Row],[_IsLeaf]]=1,Tasks[[#This Row],[_LeafTotalWork]]&gt;0),Tasks[[#This Row],[_LeafWork]]/(Tasks[[#This Row],[_FinishWorkday]]-Tasks[[#This Row],[_StartWorkday]]+1),0)</f>
        <v>0</v>
      </c>
      <c r="FU201" s="42" t="n">
        <f aca="false">Tasks[[#This Row],[_WorkPerWorkday]]*(Tasks[[#This Row],[_StartWorkday]]-1)</f>
        <v>-0</v>
      </c>
      <c r="FV201" s="42" t="n">
        <f aca="false">IF(Tasks[[#This Row],[_IsLeaf]]=1,MAX(N(Tasks[[#This Row],[_Days]]),0.1),0)</f>
        <v>0</v>
      </c>
      <c r="FW201" s="42" t="n">
        <f aca="false">Tasks[[#This Row],[_WeightDur]]*Tasks[[#This Row],[_LeafProgress]]</f>
        <v>0</v>
      </c>
      <c r="FX201" s="42" t="n">
        <f aca="false">Tasks[[#This Row],[_WeightDur]]*Tasks[[#This Row],[_PlannedPct]]</f>
        <v>0</v>
      </c>
      <c r="FY2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1" s="42" t="str">
        <f aca="false">IF(AND(Tasks[[#This Row],[_IsLeaf]]=1,N(Tasks[[#This Row],[_Days]])=0,Tasks[[#This Row],[_LeafProgress]]&lt;1),Tasks[[#This Row],[_ShownFcstFinish]]+Tasks[[#This Row],[_Row]]/100000,"")</f>
        <v/>
      </c>
      <c r="GA2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1" s="42" t="str">
        <f aca="false">IF(Tasks[[#This Row],[Task Name]]="","",LEFT(Tasks[[#This Row],[WBS]],FIND(".",Tasks[[#This Row],[WBS]]&amp;".")-1))</f>
        <v/>
      </c>
      <c r="GC201" s="42" t="str">
        <f aca="false">IF(AND(Tasks[[#This Row],[Task Name]]&lt;&gt;"",Tasks[[#This Row],[_Level]]=1),Tasks[[#This Row],[_Row]],"")</f>
        <v/>
      </c>
      <c r="GD201" s="42" t="str">
        <f aca="false">IF(AND(Tasks[[#This Row],[_IsLeaf]]=1,N(Tasks[[#This Row],[_Days]])=0),Tasks[[#This Row],[Planned Finish]]+Tasks[[#This Row],[_Row]]/100000,"")</f>
        <v/>
      </c>
      <c r="GE201" s="42" t="str">
        <f aca="false">IF(AND(Tasks[[#This Row],[_IsLeaf]]=1,Tasks[[#This Row],[_LeafProgress]]&lt;1,OR(N(Tasks[[#This Row],[Finish Var]])&gt;0,Tasks[[#This Row],[Status]]="Late Start")),MAX(0,Tasks[[#This Row],[Finish Var]])+1-Tasks[[#This Row],[_Row]]/1000000,"")</f>
        <v/>
      </c>
      <c r="GF201" s="42" t="str">
        <f aca="false">IF(AND(Tasks[[#This Row],[_IsLeaf]]=1,N(Tasks[[#This Row],[Actual Start]])=0,Tasks[[#This Row],[_ShownFcstStart]]&gt;=StatusDate,Tasks[[#This Row],[_ShownFcstStart]]&lt;=LookaheadEnd),Tasks[[#This Row],[_ShownFcstStart]]+Tasks[[#This Row],[_Row]]/100000,"")</f>
        <v/>
      </c>
      <c r="GG201" s="42" t="str">
        <f aca="false">IF(AND(Tasks[[#This Row],[_IsLeaf]]=1,Tasks[[#This Row],[_LeafProgress]]&lt;1,Tasks[[#This Row],[_ShownFcstFinish]]&gt;=StatusDate,Tasks[[#This Row],[_ShownFcstFinish]]&lt;=LookaheadEnd),Tasks[[#This Row],[_ShownFcstFinish]]+Tasks[[#This Row],[_Row]]/100000,"")</f>
        <v/>
      </c>
      <c r="GH201" s="42" t="str">
        <f aca="false">IF(Tasks[[#This Row],[_LeafCritical]],Tasks[[#This Row],[_ShownFcstStart]]+Tasks[[#This Row],[_Row]]/100000,"")</f>
        <v/>
      </c>
      <c r="GI201" s="42" t="n">
        <f aca="false">Tasks[[#This Row],[_LeafWork]]*Tasks[[#This Row],[_LeafProgress]]</f>
        <v>0</v>
      </c>
      <c r="GJ201" s="89" t="str">
        <f aca="false">IF(AND(Tasks[[#This Row],[_IsLeaf]]=1,Tasks[[#This Row],[_LeafProgress]]&gt;=1),IF(N(Tasks[[#This Row],[Actual Finish]])&gt;0,Tasks[[#This Row],[Actual Finish]],Tasks[[#This Row],[_ShownFcstFinish]]),"")</f>
        <v/>
      </c>
      <c r="GK201" s="42" t="n">
        <f aca="false">IF(Tasks[[#This Row],[_IsLeaf]]=1,N(Tasks[[#This Row],[Story Points]]),0)</f>
        <v>0</v>
      </c>
      <c r="GL201" s="42" t="str">
        <f aca="false">""</f>
        <v/>
      </c>
      <c r="GM201" s="88" t="b">
        <f aca="false">IF(Tasks[[#This Row],[Task Name]]="",FALSE(),AND(Tasks[[#This Row],[_IsLeaf]]=1,N(Tasks[[#This Row],[_Days]])=0))</f>
        <v>0</v>
      </c>
      <c r="GN201" s="89" t="n">
        <f aca="false">IF(Tasks[[#This Row],[Task Name]]="",0,IF(AND(Tasks[[#This Row],[_IsLeaf]]=1,NOT(Tasks[[#This Row],[_IsMilestone]]),N(Tasks[[#This Row],[Progress]])&gt;0),Tasks[[#This Row],[Start]],0))</f>
        <v>0</v>
      </c>
      <c r="GO201" s="89" t="n">
        <f aca="false">IF(Tasks[[#This Row],[_DoneFrom]]=0,0,IF(Tasks[[#This Row],[Progress]]&gt;=1,Tasks[[#This Row],[Finish]],MAX(Tasks[[#This Row],[_DoneFrom]],Tasks[[#This Row],[Start]]+ROUND((Tasks[[#This Row],[Finish]]-Tasks[[#This Row],[Start]]+1)*Tasks[[#This Row],[Progress]],0)-1)))</f>
        <v>0</v>
      </c>
      <c r="GP201" s="89" t="n">
        <f aca="false">IF(Tasks[[#This Row],[Task Name]]="",0,IF(OR(NOT(Tasks[[#This Row],[_IsLeaf]]=1),Tasks[[#This Row],[_IsMilestone]],N(Tasks[[#This Row],[Progress]])&gt;=1),0,IF(Tasks[[#This Row],[_DoneTo]]&gt;0,Tasks[[#This Row],[_DoneTo]]+1,Tasks[[#This Row],[Start]])))</f>
        <v>0</v>
      </c>
      <c r="GQ201" s="89" t="n">
        <f aca="false">IF(Tasks[[#This Row],[_RemFrom]]=0,0,Tasks[[#This Row],[Finish]])</f>
        <v>0</v>
      </c>
      <c r="GR201" s="88" t="b">
        <f aca="false">IF(Tasks[[#This Row],[Task Name]]="",FALSE(),OR(NOT(BaselineSet),N(Tasks[[#This Row],[Baseline Start]])&gt;0))</f>
        <v>0</v>
      </c>
      <c r="GS2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1" s="90" t="str">
        <f aca="false">IF(Tasks[[#This Row],[_IsLeaf]]=1,Tasks[[#This Row],[_Row]],"")</f>
        <v/>
      </c>
      <c r="GW201" s="90" t="str">
        <f aca="false">IFERROR(INDEX(Tasks[UID],SMALL(Tasks[_PickKey],Tasks[[#This Row],[_Row]]))&amp;" "&amp;INDEX(Tasks[Task Name],SMALL(Tasks[_PickKey],Tasks[[#This Row],[_Row]])),"")</f>
        <v/>
      </c>
      <c r="GX201" s="42" t="str">
        <f aca="false">IF(Tasks[[#This Row],[Task Name]]="","",IF(Tasks[[#This Row],[_IsSummary]],NETWORKDAYS.INTL(Tasks[[#This Row],[Start]],Tasks[[#This Row],[Finish]],WorkWeek,Holidays),N(Tasks[[#This Row],[_Days]])))</f>
        <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3"/>
      <c r="U202" s="23"/>
      <c r="V202" s="83"/>
      <c r="W202" s="23"/>
      <c r="X202" s="83"/>
      <c r="Y202" s="23"/>
      <c r="Z202" s="83"/>
      <c r="AA202" s="23"/>
      <c r="AB202" s="23"/>
      <c r="AC202" s="7"/>
      <c r="AD202" s="7"/>
      <c r="AE202" s="62" t="str">
        <f aca="false">IF(Tasks[[#This Row],[Task Name]]="","",IF(Tasks[[#This Row],[_IsSummary]],MIN(INDEX(Tasks[_ShownFcstStart],Tasks[[#This Row],[_Row]]+1):INDEX(Tasks[_ShownFcstStart],Tasks[[#This Row],[_Row]]+Tasks[[#This Row],[_Descendants]])),Tasks[[#This Row],[_ShownFcstStart]]))</f>
        <v/>
      </c>
      <c r="AF202" s="62"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2" s="7"/>
      <c r="AK202" s="22"/>
      <c r="AL202" s="23"/>
      <c r="AM202" s="7"/>
      <c r="AN202" s="46"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2" t="str">
        <f aca="false">IF(Tasks[[#This Row],[Task Name]]="","",IF(N(Tasks[[#This Row],[Baseline Start]])&gt;0,Tasks[[#This Row],[Baseline Start]],Tasks[[#This Row],[_CalcStart]]))</f>
        <v/>
      </c>
      <c r="AR202" s="62" t="str">
        <f aca="false">IF(Tasks[[#This Row],[Task Name]]="","",IF(N(Tasks[[#This Row],[Baseline Finish]])&gt;0,Tasks[[#This Row],[Baseline Finish]],Tasks[[#This Row],[_CalcFinish]]))</f>
        <v/>
      </c>
      <c r="AS202" s="46" t="str">
        <f aca="false">IF(Tasks[[#This Row],[Task Name]]="","",IF(Tasks[[#This Row],[Start]]&gt;=Tasks[[#This Row],[Planned Start]],NETWORKDAYS.INTL(Tasks[[#This Row],[Planned Start]],Tasks[[#This Row],[Start]],WorkWeek,Holidays)-1,1-NETWORKDAYS.INTL(Tasks[[#This Row],[Start]],Tasks[[#This Row],[Planned Start]],WorkWeek,Holidays)))</f>
        <v/>
      </c>
      <c r="AT202" s="62" t="str">
        <f aca="false">IF(Tasks[[#This Row],[Task Name]]="","",IF(Tasks[[#This Row],[_IsSummary]],MIN(INDEX(Tasks[_LeafLateStart],Tasks[[#This Row],[_Row]]+1):INDEX(Tasks[_LeafLateStart],Tasks[[#This Row],[_Row]]+Tasks[[#This Row],[_Descendants]])),Tasks[[#This Row],[_LeafLateStart]]))</f>
        <v/>
      </c>
      <c r="AU202" s="62" t="str">
        <f aca="false">IF(Tasks[[#This Row],[Task Name]]="","",IF(Tasks[[#This Row],[_IsSummary]],MAX(INDEX(Tasks[_LeafLateFinish],Tasks[[#This Row],[_Row]]+1):INDEX(Tasks[_LeafLateFinish],Tasks[[#This Row],[_Row]]+Tasks[[#This Row],[_Descendants]])),Tasks[[#This Row],[_LeafLateFinish]]))</f>
        <v/>
      </c>
      <c r="AV202" s="46"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4"/>
      <c r="BA2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5"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6"/>
      <c r="BJ202" s="22"/>
      <c r="BK202" s="46" t="str">
        <f aca="false">IF(OR(Tasks[[#This Row],[Task Name]]="",Tasks[[#This Row],[Baseline Duration]]=""),"",Tasks[[#This Row],[_SpanDays]]-N(Tasks[[#This Row],[Baseline Duration]]))</f>
        <v/>
      </c>
      <c r="BL202" s="85" t="str">
        <f aca="false">IF(OR(Tasks[[#This Row],[Task Name]]="",Tasks[[#This Row],[Baseline Work]]=""),"",Tasks[[#This Row],[Work]]-N(Tasks[[#This Row],[Baseline Work]]))</f>
        <v/>
      </c>
      <c r="BM202" s="62" t="str">
        <f aca="false">IF(Tasks[[#This Row],[Task Name]]="","",IF(OR(TakeBaseline="Yes",N(Tasks[[#This Row],[Baseline Start]])=0),Tasks[[#This Row],[Start]],Tasks[[#This Row],[Baseline Start]]))</f>
        <v/>
      </c>
      <c r="BN202" s="62"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5" t="str">
        <f aca="false">IF(Tasks[[#This Row],[Task Name]]="","",IF(OR(TakeBaseline="Yes",N(Tasks[[#This Row],[Baseline Work]])=0),Tasks[[#This Row],[Work]],Tasks[[#This Row],[Baseline Work]]))</f>
        <v/>
      </c>
      <c r="BQ202" s="7"/>
      <c r="BR202" s="7"/>
      <c r="BS202" s="22"/>
      <c r="BT202" s="87"/>
      <c r="BU202" s="42" t="str">
        <f aca="false">IF(Tasks[[#This Row],[Task Name]]="","",MAX(1,N(Tasks[[#This Row],[Level]])))</f>
        <v/>
      </c>
      <c r="BV202" s="42" t="n">
        <f aca="false">ROW()-ROW(Tasks[[#Headers],[ID]])</f>
        <v>197</v>
      </c>
      <c r="BW202" s="42" t="n">
        <f aca="false">IF(OR(Tasks[[#This Row],[Task Name]]="",Tasks[[#This Row],[_Level]]&lt;=1),0,IFERROR(LOOKUP(2,1/(Tasks[[#Headers],[_Level]]:Tasks[[#This Row],[_Level]]=Tasks[[#This Row],[_Level]]-1),ROW(Tasks[[#Headers],[_Level]]:Tasks[[#This Row],[_Level]])),0))</f>
        <v>0</v>
      </c>
      <c r="BX202" s="42" t="n">
        <f aca="false">IFERROR(N(INDEX(Tasks[_Level],Tasks[[#This Row],[_Row]]+1)),0)</f>
        <v>0</v>
      </c>
      <c r="BY202" s="88" t="b">
        <f aca="false">AND(Tasks[[#This Row],[Task Name]]&lt;&gt;"",Tasks[[#This Row],[_NextLevel]]&gt;Tasks[[#This Row],[_Level]])</f>
        <v>0</v>
      </c>
      <c r="BZ202" s="42" t="n">
        <f aca="false">IF(Tasks[[#This Row],[_IsSummary]],COUNTIF(Tasks[WBS],Tasks[[#This Row],[WBS]]&amp;".*"),0)</f>
        <v>0</v>
      </c>
      <c r="CA202" s="42" t="n">
        <f aca="false">IF(AND(Tasks[[#This Row],[Task Name]]&lt;&gt;"",NOT(Tasks[[#This Row],[_IsSummary]])),1,0)</f>
        <v>0</v>
      </c>
      <c r="CB202" s="42" t="n">
        <f aca="false">IF(N(Tasks[[#This Row],[_Pred1UID]])=0,0,IFERROR(MATCH(Tasks[[#This Row],[_Pred1UID]],Tasks[UID],0),-1))</f>
        <v>0</v>
      </c>
      <c r="CC202" s="42" t="n">
        <f aca="false">IF(N(Tasks[[#This Row],[_Pred2UID]])=0,0,IFERROR(MATCH(Tasks[[#This Row],[_Pred2UID]],Tasks[UID],0),-1))</f>
        <v>0</v>
      </c>
      <c r="CD202" s="42" t="n">
        <f aca="false">IF(N(Tasks[[#This Row],[_Pred3UID]])=0,0,IFERROR(MATCH(Tasks[[#This Row],[_Pred3UID]],Tasks[UID],0),-1))</f>
        <v>0</v>
      </c>
      <c r="CE202" s="42" t="n">
        <f aca="false">IF(N(Tasks[[#This Row],[_Pred4UID]])=0,0,IFERROR(MATCH(Tasks[[#This Row],[_Pred4UID]],Tasks[UID],0),-1))</f>
        <v>0</v>
      </c>
      <c r="CF2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2" s="89" t="n">
        <f aca="false">IF(OR(Tasks[[#This Row],[_ConstraintCode]]=2,Tasks[[#This Row],[_ConstraintCode]]=3,Tasks[[#This Row],[_ConstraintCode]]=4,Tasks[[#This Row],[_ConstraintCode]]=6),Tasks[[#This Row],[_ConstraintStart]],0)</f>
        <v>0</v>
      </c>
      <c r="CI202" s="89" t="n">
        <f aca="false">IF(OR(Tasks[[#This Row],[_ConstraintCode]]=2,Tasks[[#This Row],[_ConstraintCode]]=3,Tasks[[#This Row],[_ConstraintCode]]=5,Tasks[[#This Row],[_ConstraintCode]]=7),Tasks[[#This Row],[_ConstraintStart]],2958465)</f>
        <v>2958465</v>
      </c>
      <c r="CJ2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2" s="89" t="str">
        <f aca="false">IF(NOT(Tasks[[#This Row],[_IsLeaf]]=1),"",IF(N(Tasks[[#This Row],[_Days]])&lt;=0,Tasks[[#This Row],[_LeafCalcStart]],WORKDAY.INTL(Tasks[[#This Row],[_LeafCalcStart]],Tasks[[#This Row],[_Days]]-1,WorkWeek,Holidays)))</f>
        <v/>
      </c>
      <c r="CL2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2" s="42" t="str">
        <f aca="false">IF(Tasks[[#This Row],[_Predecessors]]="","",TRIM(MID(SUBSTITUTE(SUBSTITUTE(SUBSTITUTE(UPPER(Tasks[[#This Row],[_Predecessors]]),";",",")," ",""),",",REPT(" ",99)),1,99)))</f>
        <v/>
      </c>
      <c r="CO202" s="42" t="str">
        <f aca="false">IF(Tasks[[#This Row],[_Pred1Text]]="","",IFERROR(VALUE(LEFT(Tasks[[#This Row],[_Pred1Text]],MIN(FIND("F",Tasks[[#This Row],[_Pred1Text]]&amp;"F"),FIND("S",Tasks[[#This Row],[_Pred1Text]]&amp;"S"),FIND("+",Tasks[[#This Row],[_Pred1Text]]&amp;"+"),FIND("-",Tasks[[#This Row],[_Pred1Text]]&amp;"-"))-1)),""))</f>
        <v/>
      </c>
      <c r="CP2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2" s="42" t="str">
        <f aca="false">IF(Tasks[[#This Row],[_Pred1Text]]="","",TRIM(MID(SUBSTITUTE(SUBSTITUTE(SUBSTITUTE(UPPER(Tasks[[#This Row],[_Predecessors]]),";",",")," ",""),",",REPT(" ",99)),100,99)))</f>
        <v/>
      </c>
      <c r="CS202" s="42" t="str">
        <f aca="false">IF(Tasks[[#This Row],[_Pred2Text]]="","",IFERROR(VALUE(LEFT(Tasks[[#This Row],[_Pred2Text]],MIN(FIND("F",Tasks[[#This Row],[_Pred2Text]]&amp;"F"),FIND("S",Tasks[[#This Row],[_Pred2Text]]&amp;"S"),FIND("+",Tasks[[#This Row],[_Pred2Text]]&amp;"+"),FIND("-",Tasks[[#This Row],[_Pred2Text]]&amp;"-"))-1)),""))</f>
        <v/>
      </c>
      <c r="CT2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2" s="42" t="str">
        <f aca="false">IF(Tasks[[#This Row],[_Pred2Text]]="","",TRIM(MID(SUBSTITUTE(SUBSTITUTE(SUBSTITUTE(UPPER(Tasks[[#This Row],[_Predecessors]]),";",",")," ",""),",",REPT(" ",99)),199,99)))</f>
        <v/>
      </c>
      <c r="CW202" s="42" t="str">
        <f aca="false">IF(Tasks[[#This Row],[_Pred3Text]]="","",IFERROR(VALUE(LEFT(Tasks[[#This Row],[_Pred3Text]],MIN(FIND("F",Tasks[[#This Row],[_Pred3Text]]&amp;"F"),FIND("S",Tasks[[#This Row],[_Pred3Text]]&amp;"S"),FIND("+",Tasks[[#This Row],[_Pred3Text]]&amp;"+"),FIND("-",Tasks[[#This Row],[_Pred3Text]]&amp;"-"))-1)),""))</f>
        <v/>
      </c>
      <c r="CX2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2" s="42" t="str">
        <f aca="false">IF(Tasks[[#This Row],[_Pred3Text]]="","",TRIM(MID(SUBSTITUTE(SUBSTITUTE(SUBSTITUTE(UPPER(Tasks[[#This Row],[_Predecessors]]),";",",")," ",""),",",REPT(" ",99)),298,99)))</f>
        <v/>
      </c>
      <c r="DA202" s="42" t="str">
        <f aca="false">IF(Tasks[[#This Row],[_Pred4Text]]="","",IFERROR(VALUE(LEFT(Tasks[[#This Row],[_Pred4Text]],MIN(FIND("F",Tasks[[#This Row],[_Pred4Text]]&amp;"F"),FIND("S",Tasks[[#This Row],[_Pred4Text]]&amp;"S"),FIND("+",Tasks[[#This Row],[_Pred4Text]]&amp;"+"),FIND("-",Tasks[[#This Row],[_Pred4Text]]&amp;"-"))-1)),""))</f>
        <v/>
      </c>
      <c r="DB2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2" s="42" t="str">
        <f aca="false">IF(OR(Tasks[[#This Row],[Task Name]]="",Tasks[[#This Row],[_Resources]]=""),"",TRIM(MID(SUBSTITUTE(Tasks[[#This Row],[_Resources]],",",REPT(" ",99)),1,99)))</f>
        <v/>
      </c>
      <c r="DE202" s="42" t="str">
        <f aca="false">IF(Tasks[[#This Row],[_Res1Text]]="","",TRIM(MID(SUBSTITUTE(Tasks[[#This Row],[_Resources]],",",REPT(" ",99)),100,99)))</f>
        <v/>
      </c>
      <c r="DF202" s="42" t="str">
        <f aca="false">IF(Tasks[[#This Row],[_Res2Text]]="","",TRIM(MID(SUBSTITUTE(Tasks[[#This Row],[_Resources]],",",REPT(" ",99)),199,99)))</f>
        <v/>
      </c>
      <c r="DG202" s="42" t="str">
        <f aca="false">IF(Tasks[[#This Row],[_Res3Text]]="","",TRIM(MID(SUBSTITUTE(Tasks[[#This Row],[_Resources]],",",REPT(" ",99)),298,99)))</f>
        <v/>
      </c>
      <c r="DH202" s="42" t="n">
        <f aca="false">IF(Tasks[[#This Row],[_Res1Text]]="",0,IFERROR(MATCH(TRIM(LEFT(Tasks[[#This Row],[_Res1Text]],FIND("[",Tasks[[#This Row],[_Res1Text]]&amp;"[")-1)),res_Name,0),IFERROR(MATCH(TRIM(LEFT(Tasks[[#This Row],[_Res1Text]],FIND("[",Tasks[[#This Row],[_Res1Text]]&amp;"[")-1)),res_Initials,0),0)))</f>
        <v>0</v>
      </c>
      <c r="DI202" s="42" t="n">
        <f aca="false">IF(Tasks[[#This Row],[_Res2Text]]="",0,IFERROR(MATCH(TRIM(LEFT(Tasks[[#This Row],[_Res2Text]],FIND("[",Tasks[[#This Row],[_Res2Text]]&amp;"[")-1)),res_Name,0),IFERROR(MATCH(TRIM(LEFT(Tasks[[#This Row],[_Res2Text]],FIND("[",Tasks[[#This Row],[_Res2Text]]&amp;"[")-1)),res_Initials,0),0)))</f>
        <v>0</v>
      </c>
      <c r="DJ202" s="42" t="n">
        <f aca="false">IF(Tasks[[#This Row],[_Res3Text]]="",0,IFERROR(MATCH(TRIM(LEFT(Tasks[[#This Row],[_Res3Text]],FIND("[",Tasks[[#This Row],[_Res3Text]]&amp;"[")-1)),res_Name,0),IFERROR(MATCH(TRIM(LEFT(Tasks[[#This Row],[_Res3Text]],FIND("[",Tasks[[#This Row],[_Res3Text]]&amp;"[")-1)),res_Initials,0),0)))</f>
        <v>0</v>
      </c>
      <c r="DK202" s="42" t="n">
        <f aca="false">IF(Tasks[[#This Row],[_Res4Text]]="",0,IFERROR(MATCH(TRIM(LEFT(Tasks[[#This Row],[_Res4Text]],FIND("[",Tasks[[#This Row],[_Res4Text]]&amp;"[")-1)),res_Name,0),IFERROR(MATCH(TRIM(LEFT(Tasks[[#This Row],[_Res4Text]],FIND("[",Tasks[[#This Row],[_Res4Text]]&amp;"[")-1)),res_Initials,0),0)))</f>
        <v>0</v>
      </c>
      <c r="DL202" s="42" t="str">
        <f aca="false">IF(Tasks[[#This Row],[_Res1Text]]="","",IF(Tasks[[#This Row],[_Res1Row]]&gt;0,INDEX(res_Name,Tasks[[#This Row],[_Res1Row]]),TRIM(LEFT(Tasks[[#This Row],[_Res1Text]],FIND("[",Tasks[[#This Row],[_Res1Text]]&amp;"[")-1))))</f>
        <v/>
      </c>
      <c r="DM2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2" s="42" t="n">
        <f aca="false">IF(NOT(Tasks[[#This Row],[_IsLeaf]]=1),0,(Tasks[[#This Row],[_Resource1]]&lt;&gt;"")+(Tasks[[#This Row],[_Res2]]&lt;&gt;"")+(Tasks[[#This Row],[_Res3]]&lt;&gt;"")+(Tasks[[#This Row],[_Res4]]&lt;&gt;""))</f>
        <v>0</v>
      </c>
      <c r="DO202" s="42" t="str">
        <f aca="false">IF(Tasks[[#This Row],[_Res2Text]]="","",IF(Tasks[[#This Row],[_Res2Row]]&gt;0,INDEX(res_Name,Tasks[[#This Row],[_Res2Row]]),TRIM(LEFT(Tasks[[#This Row],[_Res2Text]],FIND("[",Tasks[[#This Row],[_Res2Text]]&amp;"[")-1))))</f>
        <v/>
      </c>
      <c r="DP2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2" s="42" t="n">
        <f aca="false">IF(OR(NOT(Tasks[[#This Row],[_IsLeaf]]=1),Tasks[[#This Row],[_Res2Row]]=0),0,N(Tasks[[#This Row],[_Days]])*HoursPerDay*IF(Tasks[[#This Row],[_Res2Units]]="",DefaultUnits,Tasks[[#This Row],[_Res2Units]]))</f>
        <v>0</v>
      </c>
      <c r="DR202" s="42" t="n">
        <f aca="false">IF(AND(AND(Tasks[[#This Row],[_IsLeaf]]=1,Tasks[[#This Row],[_LeafTotalWork]]&gt;0),Tasks[[#This Row],[_Res2Work]]&gt;0),Tasks[[#This Row],[_Res2Work]]/(Tasks[[#This Row],[_FinishWorkday]]-Tasks[[#This Row],[_StartWorkday]]+1),0)</f>
        <v>0</v>
      </c>
      <c r="DS202" s="42" t="n">
        <f aca="false">Tasks[[#This Row],[_Res2WorkPerWD]]*MAX(0,Tasks[[#This Row],[_StartWorkday]]-1)</f>
        <v>0</v>
      </c>
      <c r="DT202" s="42" t="n">
        <f aca="false">Tasks[[#This Row],[_Res2Work]]*Tasks[[#This Row],[_LeafProgress]]</f>
        <v>0</v>
      </c>
      <c r="DU202" s="42" t="str">
        <f aca="false">IF(Tasks[[#This Row],[_Res3Text]]="","",IF(Tasks[[#This Row],[_Res3Row]]&gt;0,INDEX(res_Name,Tasks[[#This Row],[_Res3Row]]),TRIM(LEFT(Tasks[[#This Row],[_Res3Text]],FIND("[",Tasks[[#This Row],[_Res3Text]]&amp;"[")-1))))</f>
        <v/>
      </c>
      <c r="DV2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2" s="42" t="n">
        <f aca="false">IF(OR(NOT(Tasks[[#This Row],[_IsLeaf]]=1),Tasks[[#This Row],[_Res3Row]]=0),0,N(Tasks[[#This Row],[_Days]])*HoursPerDay*IF(Tasks[[#This Row],[_Res3Units]]="",DefaultUnits,Tasks[[#This Row],[_Res3Units]]))</f>
        <v>0</v>
      </c>
      <c r="DX202" s="42" t="n">
        <f aca="false">IF(AND(AND(Tasks[[#This Row],[_IsLeaf]]=1,Tasks[[#This Row],[_LeafTotalWork]]&gt;0),Tasks[[#This Row],[_Res3Work]]&gt;0),Tasks[[#This Row],[_Res3Work]]/(Tasks[[#This Row],[_FinishWorkday]]-Tasks[[#This Row],[_StartWorkday]]+1),0)</f>
        <v>0</v>
      </c>
      <c r="DY202" s="42" t="n">
        <f aca="false">Tasks[[#This Row],[_Res3WorkPerWD]]*MAX(0,Tasks[[#This Row],[_StartWorkday]]-1)</f>
        <v>0</v>
      </c>
      <c r="DZ202" s="42" t="n">
        <f aca="false">Tasks[[#This Row],[_Res3Work]]*Tasks[[#This Row],[_LeafProgress]]</f>
        <v>0</v>
      </c>
      <c r="EA202" s="42" t="str">
        <f aca="false">IF(Tasks[[#This Row],[_Res4Text]]="","",IF(Tasks[[#This Row],[_Res4Row]]&gt;0,INDEX(res_Name,Tasks[[#This Row],[_Res4Row]]),TRIM(LEFT(Tasks[[#This Row],[_Res4Text]],FIND("[",Tasks[[#This Row],[_Res4Text]]&amp;"[")-1))))</f>
        <v/>
      </c>
      <c r="EB2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2" s="42" t="n">
        <f aca="false">IF(OR(NOT(Tasks[[#This Row],[_IsLeaf]]=1),Tasks[[#This Row],[_Res4Row]]=0),0,N(Tasks[[#This Row],[_Days]])*HoursPerDay*IF(Tasks[[#This Row],[_Res4Units]]="",DefaultUnits,Tasks[[#This Row],[_Res4Units]]))</f>
        <v>0</v>
      </c>
      <c r="ED202" s="42" t="n">
        <f aca="false">IF(AND(AND(Tasks[[#This Row],[_IsLeaf]]=1,Tasks[[#This Row],[_LeafTotalWork]]&gt;0),Tasks[[#This Row],[_Res4Work]]&gt;0),Tasks[[#This Row],[_Res4Work]]/(Tasks[[#This Row],[_FinishWorkday]]-Tasks[[#This Row],[_StartWorkday]]+1),0)</f>
        <v>0</v>
      </c>
      <c r="EE202" s="42" t="n">
        <f aca="false">Tasks[[#This Row],[_Res4WorkPerWD]]*MAX(0,Tasks[[#This Row],[_StartWorkday]]-1)</f>
        <v>0</v>
      </c>
      <c r="EF202" s="42" t="n">
        <f aca="false">Tasks[[#This Row],[_Res4Work]]*Tasks[[#This Row],[_LeafProgress]]</f>
        <v>0</v>
      </c>
      <c r="EG202" s="42" t="n">
        <f aca="false">IF(ISNUMBER(Tasks[[#This Row],[% Complete]]),Tasks[[#This Row],[% Complete]],IF(Tasks[[#This Row],[Stage]]="",0,IFERROR(INDEX(stg_Pct,MATCH(Tasks[[#This Row],[Stage]],stg_Name,0)),0)))</f>
        <v>0</v>
      </c>
      <c r="EH202" s="42" t="n">
        <f aca="false">IF(NOT(Tasks[[#This Row],[_IsLeaf]]=1),0,IF(N(Tasks[[#This Row],[Actual Finish]])&gt;0,1,MIN(1,Tasks[[#This Row],[_Pct]])))</f>
        <v>0</v>
      </c>
      <c r="EI202" s="42" t="n">
        <f aca="false">IF(OR(NOT(Tasks[[#This Row],[_IsLeaf]]=1),Tasks[[#This Row],[_Res1Row]]=0),0,N(Tasks[[#This Row],[_Days]])*HoursPerDay*IF(Tasks[[#This Row],[_Units1]]="",DefaultUnits,Tasks[[#This Row],[_Units1]]))</f>
        <v>0</v>
      </c>
      <c r="EJ202" s="42" t="n">
        <f aca="false">Tasks[[#This Row],[_LeafWork]]+Tasks[[#This Row],[_Res2Work]]+Tasks[[#This Row],[_Res3Work]]+Tasks[[#This Row],[_Res4Work]]</f>
        <v>0</v>
      </c>
      <c r="EK2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2" s="42" t="n">
        <f aca="false">IF(NOT(Tasks[[#This Row],[_IsLeaf]]=1),0,MAX(_xlfn.MAXIFS(Tasks[_Row],Tasks[_Pred1UID],Tasks[[#This Row],[UID]]),_xlfn.MAXIFS(Tasks[_Row],Tasks[_Pred2UID],Tasks[[#This Row],[UID]]),_xlfn.MAXIFS(Tasks[_Row],Tasks[_Pred3UID],Tasks[[#This Row],[UID]]),_xlfn.MAXIFS(Tasks[_Row],Tasks[_Pred4UID],Tasks[[#This Row],[UID]])))</f>
        <v>0</v>
      </c>
      <c r="ET2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2" s="89" t="str">
        <f aca="false">IF(NOT(Tasks[[#This Row],[_IsLeaf]]=1),"",IF(N(Tasks[[#This Row],[_Days]])&lt;=0,Tasks[[#This Row],[_LeafLateFinish]],WORKDAY.INTL(Tasks[[#This Row],[_LeafLateFinish]],-(Tasks[[#This Row],[_Days]]-1),WorkWeek,Holidays)))</f>
        <v/>
      </c>
      <c r="EW2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2" s="88" t="b">
        <f aca="false">AND(Tasks[[#This Row],[_IsLeaf]]=1,Tasks[[#This Row],[_LeafProgress]]&lt;1,N(Tasks[[#This Row],[_LeafTotalSlack]])&lt;=CriticalSlackDays)</f>
        <v>0</v>
      </c>
      <c r="EY202" s="42" t="n">
        <f aca="false">IF(AND(Tasks[[#This Row],[_IsLeaf]]=1,Tasks[[#This Row],[_ConstraintCode]]=1,Tasks[[#This Row],[Mode]]&lt;&gt;"Manual",N(Tasks[[#This Row],[Actual Start]])=0),MAX(0,N(Tasks[[#This Row],[Free Slack]])),0)</f>
        <v>0</v>
      </c>
      <c r="EZ202" s="89" t="str">
        <f aca="false">IF(NOT(Tasks[[#This Row],[_IsLeaf]]=1),"",IF(Tasks[[#This Row],[_AlapShift]]=0,Tasks[[#This Row],[_LeafCalcStart]],WORKDAY.INTL(Tasks[[#This Row],[_LeafCalcStart]],Tasks[[#This Row],[_AlapShift]],WorkWeek,Holidays)))</f>
        <v/>
      </c>
      <c r="FA202" s="89" t="str">
        <f aca="false">IF(NOT(Tasks[[#This Row],[_IsLeaf]]=1),"",IF(Tasks[[#This Row],[_AlapShift]]=0,Tasks[[#This Row],[_LeafCalcFinish]],WORKDAY.INTL(Tasks[[#This Row],[_LeafCalcFinish]],Tasks[[#This Row],[_AlapShift]],WorkWeek,Holidays)))</f>
        <v/>
      </c>
      <c r="FB202" s="89" t="str">
        <f aca="false">IF(NOT(Tasks[[#This Row],[_IsLeaf]]=1),"",IF(Tasks[[#This Row],[_AlapShift]]=0,Tasks[[#This Row],[_LeafFcstStart]],WORKDAY.INTL(Tasks[[#This Row],[_LeafFcstStart]],Tasks[[#This Row],[_AlapShift]],WorkWeek,Holidays)))</f>
        <v/>
      </c>
      <c r="FC202" s="89" t="str">
        <f aca="false">IF(NOT(Tasks[[#This Row],[_IsLeaf]]=1),"",IF(Tasks[[#This Row],[_AlapShift]]=0,Tasks[[#This Row],[_LeafFcstFinish]],WORKDAY.INTL(Tasks[[#This Row],[_LeafFcstFinish]],Tasks[[#This Row],[_AlapShift]],WorkWeek,Holidays)))</f>
        <v/>
      </c>
      <c r="FD202" s="89" t="str">
        <f aca="false">IF(Tasks[[#This Row],[Task Name]]="","",IF(Tasks[[#This Row],[_IsSummary]],MIN(INDEX(Tasks[_ShownCalcStart],Tasks[[#This Row],[_Row]]+1):INDEX(Tasks[_ShownCalcStart],Tasks[[#This Row],[_Row]]+Tasks[[#This Row],[_Descendants]])),Tasks[[#This Row],[_ShownCalcStart]]))</f>
        <v/>
      </c>
      <c r="FE202" s="89" t="str">
        <f aca="false">IF(Tasks[[#This Row],[Task Name]]="","",IF(Tasks[[#This Row],[_IsSummary]],MAX(INDEX(Tasks[_ShownCalcFinish],Tasks[[#This Row],[_Row]]+1):INDEX(Tasks[_ShownCalcFinish],Tasks[[#This Row],[_Row]]+Tasks[[#This Row],[_Descendants]])),Tasks[[#This Row],[_ShownCalcFinish]]))</f>
        <v/>
      </c>
      <c r="FF2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2" s="42" t="n">
        <f aca="false">IF(AND(Tasks[[#This Row],[_IsLeaf]]=1,Tasks[[#This Row],[_LeafTotalWork]]&gt;0),NETWORKDAYS.INTL(ProjectStart,Tasks[[#This Row],[_ShownFcstStart]],WorkWeek,Holidays),0)</f>
        <v>0</v>
      </c>
      <c r="FS202" s="42" t="n">
        <f aca="false">IF(AND(Tasks[[#This Row],[_IsLeaf]]=1,Tasks[[#This Row],[_LeafTotalWork]]&gt;0),MAX(Tasks[[#This Row],[_StartWorkday]],NETWORKDAYS.INTL(ProjectStart,Tasks[[#This Row],[_ShownFcstFinish]],WorkWeek,Holidays)),0)</f>
        <v>0</v>
      </c>
      <c r="FT202" s="42" t="n">
        <f aca="false">IF(AND(Tasks[[#This Row],[_IsLeaf]]=1,Tasks[[#This Row],[_LeafTotalWork]]&gt;0),Tasks[[#This Row],[_LeafWork]]/(Tasks[[#This Row],[_FinishWorkday]]-Tasks[[#This Row],[_StartWorkday]]+1),0)</f>
        <v>0</v>
      </c>
      <c r="FU202" s="42" t="n">
        <f aca="false">Tasks[[#This Row],[_WorkPerWorkday]]*(Tasks[[#This Row],[_StartWorkday]]-1)</f>
        <v>-0</v>
      </c>
      <c r="FV202" s="42" t="n">
        <f aca="false">IF(Tasks[[#This Row],[_IsLeaf]]=1,MAX(N(Tasks[[#This Row],[_Days]]),0.1),0)</f>
        <v>0</v>
      </c>
      <c r="FW202" s="42" t="n">
        <f aca="false">Tasks[[#This Row],[_WeightDur]]*Tasks[[#This Row],[_LeafProgress]]</f>
        <v>0</v>
      </c>
      <c r="FX202" s="42" t="n">
        <f aca="false">Tasks[[#This Row],[_WeightDur]]*Tasks[[#This Row],[_PlannedPct]]</f>
        <v>0</v>
      </c>
      <c r="FY2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2" s="42" t="str">
        <f aca="false">IF(AND(Tasks[[#This Row],[_IsLeaf]]=1,N(Tasks[[#This Row],[_Days]])=0,Tasks[[#This Row],[_LeafProgress]]&lt;1),Tasks[[#This Row],[_ShownFcstFinish]]+Tasks[[#This Row],[_Row]]/100000,"")</f>
        <v/>
      </c>
      <c r="GA2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2" s="42" t="str">
        <f aca="false">IF(Tasks[[#This Row],[Task Name]]="","",LEFT(Tasks[[#This Row],[WBS]],FIND(".",Tasks[[#This Row],[WBS]]&amp;".")-1))</f>
        <v/>
      </c>
      <c r="GC202" s="42" t="str">
        <f aca="false">IF(AND(Tasks[[#This Row],[Task Name]]&lt;&gt;"",Tasks[[#This Row],[_Level]]=1),Tasks[[#This Row],[_Row]],"")</f>
        <v/>
      </c>
      <c r="GD202" s="42" t="str">
        <f aca="false">IF(AND(Tasks[[#This Row],[_IsLeaf]]=1,N(Tasks[[#This Row],[_Days]])=0),Tasks[[#This Row],[Planned Finish]]+Tasks[[#This Row],[_Row]]/100000,"")</f>
        <v/>
      </c>
      <c r="GE202" s="42" t="str">
        <f aca="false">IF(AND(Tasks[[#This Row],[_IsLeaf]]=1,Tasks[[#This Row],[_LeafProgress]]&lt;1,OR(N(Tasks[[#This Row],[Finish Var]])&gt;0,Tasks[[#This Row],[Status]]="Late Start")),MAX(0,Tasks[[#This Row],[Finish Var]])+1-Tasks[[#This Row],[_Row]]/1000000,"")</f>
        <v/>
      </c>
      <c r="GF202" s="42" t="str">
        <f aca="false">IF(AND(Tasks[[#This Row],[_IsLeaf]]=1,N(Tasks[[#This Row],[Actual Start]])=0,Tasks[[#This Row],[_ShownFcstStart]]&gt;=StatusDate,Tasks[[#This Row],[_ShownFcstStart]]&lt;=LookaheadEnd),Tasks[[#This Row],[_ShownFcstStart]]+Tasks[[#This Row],[_Row]]/100000,"")</f>
        <v/>
      </c>
      <c r="GG202" s="42" t="str">
        <f aca="false">IF(AND(Tasks[[#This Row],[_IsLeaf]]=1,Tasks[[#This Row],[_LeafProgress]]&lt;1,Tasks[[#This Row],[_ShownFcstFinish]]&gt;=StatusDate,Tasks[[#This Row],[_ShownFcstFinish]]&lt;=LookaheadEnd),Tasks[[#This Row],[_ShownFcstFinish]]+Tasks[[#This Row],[_Row]]/100000,"")</f>
        <v/>
      </c>
      <c r="GH202" s="42" t="str">
        <f aca="false">IF(Tasks[[#This Row],[_LeafCritical]],Tasks[[#This Row],[_ShownFcstStart]]+Tasks[[#This Row],[_Row]]/100000,"")</f>
        <v/>
      </c>
      <c r="GI202" s="42" t="n">
        <f aca="false">Tasks[[#This Row],[_LeafWork]]*Tasks[[#This Row],[_LeafProgress]]</f>
        <v>0</v>
      </c>
      <c r="GJ202" s="89" t="str">
        <f aca="false">IF(AND(Tasks[[#This Row],[_IsLeaf]]=1,Tasks[[#This Row],[_LeafProgress]]&gt;=1),IF(N(Tasks[[#This Row],[Actual Finish]])&gt;0,Tasks[[#This Row],[Actual Finish]],Tasks[[#This Row],[_ShownFcstFinish]]),"")</f>
        <v/>
      </c>
      <c r="GK202" s="42" t="n">
        <f aca="false">IF(Tasks[[#This Row],[_IsLeaf]]=1,N(Tasks[[#This Row],[Story Points]]),0)</f>
        <v>0</v>
      </c>
      <c r="GL202" s="42" t="str">
        <f aca="false">""</f>
        <v/>
      </c>
      <c r="GM202" s="88" t="b">
        <f aca="false">IF(Tasks[[#This Row],[Task Name]]="",FALSE(),AND(Tasks[[#This Row],[_IsLeaf]]=1,N(Tasks[[#This Row],[_Days]])=0))</f>
        <v>0</v>
      </c>
      <c r="GN202" s="89" t="n">
        <f aca="false">IF(Tasks[[#This Row],[Task Name]]="",0,IF(AND(Tasks[[#This Row],[_IsLeaf]]=1,NOT(Tasks[[#This Row],[_IsMilestone]]),N(Tasks[[#This Row],[Progress]])&gt;0),Tasks[[#This Row],[Start]],0))</f>
        <v>0</v>
      </c>
      <c r="GO202" s="89" t="n">
        <f aca="false">IF(Tasks[[#This Row],[_DoneFrom]]=0,0,IF(Tasks[[#This Row],[Progress]]&gt;=1,Tasks[[#This Row],[Finish]],MAX(Tasks[[#This Row],[_DoneFrom]],Tasks[[#This Row],[Start]]+ROUND((Tasks[[#This Row],[Finish]]-Tasks[[#This Row],[Start]]+1)*Tasks[[#This Row],[Progress]],0)-1)))</f>
        <v>0</v>
      </c>
      <c r="GP202" s="89" t="n">
        <f aca="false">IF(Tasks[[#This Row],[Task Name]]="",0,IF(OR(NOT(Tasks[[#This Row],[_IsLeaf]]=1),Tasks[[#This Row],[_IsMilestone]],N(Tasks[[#This Row],[Progress]])&gt;=1),0,IF(Tasks[[#This Row],[_DoneTo]]&gt;0,Tasks[[#This Row],[_DoneTo]]+1,Tasks[[#This Row],[Start]])))</f>
        <v>0</v>
      </c>
      <c r="GQ202" s="89" t="n">
        <f aca="false">IF(Tasks[[#This Row],[_RemFrom]]=0,0,Tasks[[#This Row],[Finish]])</f>
        <v>0</v>
      </c>
      <c r="GR202" s="88" t="b">
        <f aca="false">IF(Tasks[[#This Row],[Task Name]]="",FALSE(),OR(NOT(BaselineSet),N(Tasks[[#This Row],[Baseline Start]])&gt;0))</f>
        <v>0</v>
      </c>
      <c r="GS2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2" s="90" t="str">
        <f aca="false">IF(Tasks[[#This Row],[_IsLeaf]]=1,Tasks[[#This Row],[_Row]],"")</f>
        <v/>
      </c>
      <c r="GW202" s="90" t="str">
        <f aca="false">IFERROR(INDEX(Tasks[UID],SMALL(Tasks[_PickKey],Tasks[[#This Row],[_Row]]))&amp;" "&amp;INDEX(Tasks[Task Name],SMALL(Tasks[_PickKey],Tasks[[#This Row],[_Row]])),"")</f>
        <v/>
      </c>
      <c r="GX202" s="42" t="str">
        <f aca="false">IF(Tasks[[#This Row],[Task Name]]="","",IF(Tasks[[#This Row],[_IsSummary]],NETWORKDAYS.INTL(Tasks[[#This Row],[Start]],Tasks[[#This Row],[Finish]],WorkWeek,Holidays),N(Tasks[[#This Row],[_Days]])))</f>
        <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3"/>
      <c r="U203" s="23"/>
      <c r="V203" s="83"/>
      <c r="W203" s="23"/>
      <c r="X203" s="83"/>
      <c r="Y203" s="23"/>
      <c r="Z203" s="83"/>
      <c r="AA203" s="23"/>
      <c r="AB203" s="23"/>
      <c r="AC203" s="7"/>
      <c r="AD203" s="7"/>
      <c r="AE203" s="62" t="str">
        <f aca="false">IF(Tasks[[#This Row],[Task Name]]="","",IF(Tasks[[#This Row],[_IsSummary]],MIN(INDEX(Tasks[_ShownFcstStart],Tasks[[#This Row],[_Row]]+1):INDEX(Tasks[_ShownFcstStart],Tasks[[#This Row],[_Row]]+Tasks[[#This Row],[_Descendants]])),Tasks[[#This Row],[_ShownFcstStart]]))</f>
        <v/>
      </c>
      <c r="AF203" s="62"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3" s="7"/>
      <c r="AK203" s="22"/>
      <c r="AL203" s="23"/>
      <c r="AM203" s="7"/>
      <c r="AN203" s="46"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2" t="str">
        <f aca="false">IF(Tasks[[#This Row],[Task Name]]="","",IF(N(Tasks[[#This Row],[Baseline Start]])&gt;0,Tasks[[#This Row],[Baseline Start]],Tasks[[#This Row],[_CalcStart]]))</f>
        <v/>
      </c>
      <c r="AR203" s="62" t="str">
        <f aca="false">IF(Tasks[[#This Row],[Task Name]]="","",IF(N(Tasks[[#This Row],[Baseline Finish]])&gt;0,Tasks[[#This Row],[Baseline Finish]],Tasks[[#This Row],[_CalcFinish]]))</f>
        <v/>
      </c>
      <c r="AS203" s="46" t="str">
        <f aca="false">IF(Tasks[[#This Row],[Task Name]]="","",IF(Tasks[[#This Row],[Start]]&gt;=Tasks[[#This Row],[Planned Start]],NETWORKDAYS.INTL(Tasks[[#This Row],[Planned Start]],Tasks[[#This Row],[Start]],WorkWeek,Holidays)-1,1-NETWORKDAYS.INTL(Tasks[[#This Row],[Start]],Tasks[[#This Row],[Planned Start]],WorkWeek,Holidays)))</f>
        <v/>
      </c>
      <c r="AT203" s="62" t="str">
        <f aca="false">IF(Tasks[[#This Row],[Task Name]]="","",IF(Tasks[[#This Row],[_IsSummary]],MIN(INDEX(Tasks[_LeafLateStart],Tasks[[#This Row],[_Row]]+1):INDEX(Tasks[_LeafLateStart],Tasks[[#This Row],[_Row]]+Tasks[[#This Row],[_Descendants]])),Tasks[[#This Row],[_LeafLateStart]]))</f>
        <v/>
      </c>
      <c r="AU203" s="62" t="str">
        <f aca="false">IF(Tasks[[#This Row],[Task Name]]="","",IF(Tasks[[#This Row],[_IsSummary]],MAX(INDEX(Tasks[_LeafLateFinish],Tasks[[#This Row],[_Row]]+1):INDEX(Tasks[_LeafLateFinish],Tasks[[#This Row],[_Row]]+Tasks[[#This Row],[_Descendants]])),Tasks[[#This Row],[_LeafLateFinish]]))</f>
        <v/>
      </c>
      <c r="AV203" s="46"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4"/>
      <c r="BA2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5"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6"/>
      <c r="BJ203" s="22"/>
      <c r="BK203" s="46" t="str">
        <f aca="false">IF(OR(Tasks[[#This Row],[Task Name]]="",Tasks[[#This Row],[Baseline Duration]]=""),"",Tasks[[#This Row],[_SpanDays]]-N(Tasks[[#This Row],[Baseline Duration]]))</f>
        <v/>
      </c>
      <c r="BL203" s="85" t="str">
        <f aca="false">IF(OR(Tasks[[#This Row],[Task Name]]="",Tasks[[#This Row],[Baseline Work]]=""),"",Tasks[[#This Row],[Work]]-N(Tasks[[#This Row],[Baseline Work]]))</f>
        <v/>
      </c>
      <c r="BM203" s="62" t="str">
        <f aca="false">IF(Tasks[[#This Row],[Task Name]]="","",IF(OR(TakeBaseline="Yes",N(Tasks[[#This Row],[Baseline Start]])=0),Tasks[[#This Row],[Start]],Tasks[[#This Row],[Baseline Start]]))</f>
        <v/>
      </c>
      <c r="BN203" s="62"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5" t="str">
        <f aca="false">IF(Tasks[[#This Row],[Task Name]]="","",IF(OR(TakeBaseline="Yes",N(Tasks[[#This Row],[Baseline Work]])=0),Tasks[[#This Row],[Work]],Tasks[[#This Row],[Baseline Work]]))</f>
        <v/>
      </c>
      <c r="BQ203" s="7"/>
      <c r="BR203" s="7"/>
      <c r="BS203" s="22"/>
      <c r="BT203" s="87"/>
      <c r="BU203" s="42" t="str">
        <f aca="false">IF(Tasks[[#This Row],[Task Name]]="","",MAX(1,N(Tasks[[#This Row],[Level]])))</f>
        <v/>
      </c>
      <c r="BV203" s="42" t="n">
        <f aca="false">ROW()-ROW(Tasks[[#Headers],[ID]])</f>
        <v>198</v>
      </c>
      <c r="BW203" s="42" t="n">
        <f aca="false">IF(OR(Tasks[[#This Row],[Task Name]]="",Tasks[[#This Row],[_Level]]&lt;=1),0,IFERROR(LOOKUP(2,1/(Tasks[[#Headers],[_Level]]:Tasks[[#This Row],[_Level]]=Tasks[[#This Row],[_Level]]-1),ROW(Tasks[[#Headers],[_Level]]:Tasks[[#This Row],[_Level]])),0))</f>
        <v>0</v>
      </c>
      <c r="BX203" s="42" t="n">
        <f aca="false">IFERROR(N(INDEX(Tasks[_Level],Tasks[[#This Row],[_Row]]+1)),0)</f>
        <v>0</v>
      </c>
      <c r="BY203" s="88" t="b">
        <f aca="false">AND(Tasks[[#This Row],[Task Name]]&lt;&gt;"",Tasks[[#This Row],[_NextLevel]]&gt;Tasks[[#This Row],[_Level]])</f>
        <v>0</v>
      </c>
      <c r="BZ203" s="42" t="n">
        <f aca="false">IF(Tasks[[#This Row],[_IsSummary]],COUNTIF(Tasks[WBS],Tasks[[#This Row],[WBS]]&amp;".*"),0)</f>
        <v>0</v>
      </c>
      <c r="CA203" s="42" t="n">
        <f aca="false">IF(AND(Tasks[[#This Row],[Task Name]]&lt;&gt;"",NOT(Tasks[[#This Row],[_IsSummary]])),1,0)</f>
        <v>0</v>
      </c>
      <c r="CB203" s="42" t="n">
        <f aca="false">IF(N(Tasks[[#This Row],[_Pred1UID]])=0,0,IFERROR(MATCH(Tasks[[#This Row],[_Pred1UID]],Tasks[UID],0),-1))</f>
        <v>0</v>
      </c>
      <c r="CC203" s="42" t="n">
        <f aca="false">IF(N(Tasks[[#This Row],[_Pred2UID]])=0,0,IFERROR(MATCH(Tasks[[#This Row],[_Pred2UID]],Tasks[UID],0),-1))</f>
        <v>0</v>
      </c>
      <c r="CD203" s="42" t="n">
        <f aca="false">IF(N(Tasks[[#This Row],[_Pred3UID]])=0,0,IFERROR(MATCH(Tasks[[#This Row],[_Pred3UID]],Tasks[UID],0),-1))</f>
        <v>0</v>
      </c>
      <c r="CE203" s="42" t="n">
        <f aca="false">IF(N(Tasks[[#This Row],[_Pred4UID]])=0,0,IFERROR(MATCH(Tasks[[#This Row],[_Pred4UID]],Tasks[UID],0),-1))</f>
        <v>0</v>
      </c>
      <c r="CF2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3" s="89" t="n">
        <f aca="false">IF(OR(Tasks[[#This Row],[_ConstraintCode]]=2,Tasks[[#This Row],[_ConstraintCode]]=3,Tasks[[#This Row],[_ConstraintCode]]=4,Tasks[[#This Row],[_ConstraintCode]]=6),Tasks[[#This Row],[_ConstraintStart]],0)</f>
        <v>0</v>
      </c>
      <c r="CI203" s="89" t="n">
        <f aca="false">IF(OR(Tasks[[#This Row],[_ConstraintCode]]=2,Tasks[[#This Row],[_ConstraintCode]]=3,Tasks[[#This Row],[_ConstraintCode]]=5,Tasks[[#This Row],[_ConstraintCode]]=7),Tasks[[#This Row],[_ConstraintStart]],2958465)</f>
        <v>2958465</v>
      </c>
      <c r="CJ2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3" s="89" t="str">
        <f aca="false">IF(NOT(Tasks[[#This Row],[_IsLeaf]]=1),"",IF(N(Tasks[[#This Row],[_Days]])&lt;=0,Tasks[[#This Row],[_LeafCalcStart]],WORKDAY.INTL(Tasks[[#This Row],[_LeafCalcStart]],Tasks[[#This Row],[_Days]]-1,WorkWeek,Holidays)))</f>
        <v/>
      </c>
      <c r="CL2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3" s="42" t="str">
        <f aca="false">IF(Tasks[[#This Row],[_Predecessors]]="","",TRIM(MID(SUBSTITUTE(SUBSTITUTE(SUBSTITUTE(UPPER(Tasks[[#This Row],[_Predecessors]]),";",",")," ",""),",",REPT(" ",99)),1,99)))</f>
        <v/>
      </c>
      <c r="CO203" s="42" t="str">
        <f aca="false">IF(Tasks[[#This Row],[_Pred1Text]]="","",IFERROR(VALUE(LEFT(Tasks[[#This Row],[_Pred1Text]],MIN(FIND("F",Tasks[[#This Row],[_Pred1Text]]&amp;"F"),FIND("S",Tasks[[#This Row],[_Pred1Text]]&amp;"S"),FIND("+",Tasks[[#This Row],[_Pred1Text]]&amp;"+"),FIND("-",Tasks[[#This Row],[_Pred1Text]]&amp;"-"))-1)),""))</f>
        <v/>
      </c>
      <c r="CP2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3" s="42" t="str">
        <f aca="false">IF(Tasks[[#This Row],[_Pred1Text]]="","",TRIM(MID(SUBSTITUTE(SUBSTITUTE(SUBSTITUTE(UPPER(Tasks[[#This Row],[_Predecessors]]),";",",")," ",""),",",REPT(" ",99)),100,99)))</f>
        <v/>
      </c>
      <c r="CS203" s="42" t="str">
        <f aca="false">IF(Tasks[[#This Row],[_Pred2Text]]="","",IFERROR(VALUE(LEFT(Tasks[[#This Row],[_Pred2Text]],MIN(FIND("F",Tasks[[#This Row],[_Pred2Text]]&amp;"F"),FIND("S",Tasks[[#This Row],[_Pred2Text]]&amp;"S"),FIND("+",Tasks[[#This Row],[_Pred2Text]]&amp;"+"),FIND("-",Tasks[[#This Row],[_Pred2Text]]&amp;"-"))-1)),""))</f>
        <v/>
      </c>
      <c r="CT2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3" s="42" t="str">
        <f aca="false">IF(Tasks[[#This Row],[_Pred2Text]]="","",TRIM(MID(SUBSTITUTE(SUBSTITUTE(SUBSTITUTE(UPPER(Tasks[[#This Row],[_Predecessors]]),";",",")," ",""),",",REPT(" ",99)),199,99)))</f>
        <v/>
      </c>
      <c r="CW203" s="42" t="str">
        <f aca="false">IF(Tasks[[#This Row],[_Pred3Text]]="","",IFERROR(VALUE(LEFT(Tasks[[#This Row],[_Pred3Text]],MIN(FIND("F",Tasks[[#This Row],[_Pred3Text]]&amp;"F"),FIND("S",Tasks[[#This Row],[_Pred3Text]]&amp;"S"),FIND("+",Tasks[[#This Row],[_Pred3Text]]&amp;"+"),FIND("-",Tasks[[#This Row],[_Pred3Text]]&amp;"-"))-1)),""))</f>
        <v/>
      </c>
      <c r="CX2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3" s="42" t="str">
        <f aca="false">IF(Tasks[[#This Row],[_Pred3Text]]="","",TRIM(MID(SUBSTITUTE(SUBSTITUTE(SUBSTITUTE(UPPER(Tasks[[#This Row],[_Predecessors]]),";",",")," ",""),",",REPT(" ",99)),298,99)))</f>
        <v/>
      </c>
      <c r="DA203" s="42" t="str">
        <f aca="false">IF(Tasks[[#This Row],[_Pred4Text]]="","",IFERROR(VALUE(LEFT(Tasks[[#This Row],[_Pred4Text]],MIN(FIND("F",Tasks[[#This Row],[_Pred4Text]]&amp;"F"),FIND("S",Tasks[[#This Row],[_Pred4Text]]&amp;"S"),FIND("+",Tasks[[#This Row],[_Pred4Text]]&amp;"+"),FIND("-",Tasks[[#This Row],[_Pred4Text]]&amp;"-"))-1)),""))</f>
        <v/>
      </c>
      <c r="DB2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3" s="42" t="str">
        <f aca="false">IF(OR(Tasks[[#This Row],[Task Name]]="",Tasks[[#This Row],[_Resources]]=""),"",TRIM(MID(SUBSTITUTE(Tasks[[#This Row],[_Resources]],",",REPT(" ",99)),1,99)))</f>
        <v/>
      </c>
      <c r="DE203" s="42" t="str">
        <f aca="false">IF(Tasks[[#This Row],[_Res1Text]]="","",TRIM(MID(SUBSTITUTE(Tasks[[#This Row],[_Resources]],",",REPT(" ",99)),100,99)))</f>
        <v/>
      </c>
      <c r="DF203" s="42" t="str">
        <f aca="false">IF(Tasks[[#This Row],[_Res2Text]]="","",TRIM(MID(SUBSTITUTE(Tasks[[#This Row],[_Resources]],",",REPT(" ",99)),199,99)))</f>
        <v/>
      </c>
      <c r="DG203" s="42" t="str">
        <f aca="false">IF(Tasks[[#This Row],[_Res3Text]]="","",TRIM(MID(SUBSTITUTE(Tasks[[#This Row],[_Resources]],",",REPT(" ",99)),298,99)))</f>
        <v/>
      </c>
      <c r="DH203" s="42" t="n">
        <f aca="false">IF(Tasks[[#This Row],[_Res1Text]]="",0,IFERROR(MATCH(TRIM(LEFT(Tasks[[#This Row],[_Res1Text]],FIND("[",Tasks[[#This Row],[_Res1Text]]&amp;"[")-1)),res_Name,0),IFERROR(MATCH(TRIM(LEFT(Tasks[[#This Row],[_Res1Text]],FIND("[",Tasks[[#This Row],[_Res1Text]]&amp;"[")-1)),res_Initials,0),0)))</f>
        <v>0</v>
      </c>
      <c r="DI203" s="42" t="n">
        <f aca="false">IF(Tasks[[#This Row],[_Res2Text]]="",0,IFERROR(MATCH(TRIM(LEFT(Tasks[[#This Row],[_Res2Text]],FIND("[",Tasks[[#This Row],[_Res2Text]]&amp;"[")-1)),res_Name,0),IFERROR(MATCH(TRIM(LEFT(Tasks[[#This Row],[_Res2Text]],FIND("[",Tasks[[#This Row],[_Res2Text]]&amp;"[")-1)),res_Initials,0),0)))</f>
        <v>0</v>
      </c>
      <c r="DJ203" s="42" t="n">
        <f aca="false">IF(Tasks[[#This Row],[_Res3Text]]="",0,IFERROR(MATCH(TRIM(LEFT(Tasks[[#This Row],[_Res3Text]],FIND("[",Tasks[[#This Row],[_Res3Text]]&amp;"[")-1)),res_Name,0),IFERROR(MATCH(TRIM(LEFT(Tasks[[#This Row],[_Res3Text]],FIND("[",Tasks[[#This Row],[_Res3Text]]&amp;"[")-1)),res_Initials,0),0)))</f>
        <v>0</v>
      </c>
      <c r="DK203" s="42" t="n">
        <f aca="false">IF(Tasks[[#This Row],[_Res4Text]]="",0,IFERROR(MATCH(TRIM(LEFT(Tasks[[#This Row],[_Res4Text]],FIND("[",Tasks[[#This Row],[_Res4Text]]&amp;"[")-1)),res_Name,0),IFERROR(MATCH(TRIM(LEFT(Tasks[[#This Row],[_Res4Text]],FIND("[",Tasks[[#This Row],[_Res4Text]]&amp;"[")-1)),res_Initials,0),0)))</f>
        <v>0</v>
      </c>
      <c r="DL203" s="42" t="str">
        <f aca="false">IF(Tasks[[#This Row],[_Res1Text]]="","",IF(Tasks[[#This Row],[_Res1Row]]&gt;0,INDEX(res_Name,Tasks[[#This Row],[_Res1Row]]),TRIM(LEFT(Tasks[[#This Row],[_Res1Text]],FIND("[",Tasks[[#This Row],[_Res1Text]]&amp;"[")-1))))</f>
        <v/>
      </c>
      <c r="DM2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3" s="42" t="n">
        <f aca="false">IF(NOT(Tasks[[#This Row],[_IsLeaf]]=1),0,(Tasks[[#This Row],[_Resource1]]&lt;&gt;"")+(Tasks[[#This Row],[_Res2]]&lt;&gt;"")+(Tasks[[#This Row],[_Res3]]&lt;&gt;"")+(Tasks[[#This Row],[_Res4]]&lt;&gt;""))</f>
        <v>0</v>
      </c>
      <c r="DO203" s="42" t="str">
        <f aca="false">IF(Tasks[[#This Row],[_Res2Text]]="","",IF(Tasks[[#This Row],[_Res2Row]]&gt;0,INDEX(res_Name,Tasks[[#This Row],[_Res2Row]]),TRIM(LEFT(Tasks[[#This Row],[_Res2Text]],FIND("[",Tasks[[#This Row],[_Res2Text]]&amp;"[")-1))))</f>
        <v/>
      </c>
      <c r="DP2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3" s="42" t="n">
        <f aca="false">IF(OR(NOT(Tasks[[#This Row],[_IsLeaf]]=1),Tasks[[#This Row],[_Res2Row]]=0),0,N(Tasks[[#This Row],[_Days]])*HoursPerDay*IF(Tasks[[#This Row],[_Res2Units]]="",DefaultUnits,Tasks[[#This Row],[_Res2Units]]))</f>
        <v>0</v>
      </c>
      <c r="DR203" s="42" t="n">
        <f aca="false">IF(AND(AND(Tasks[[#This Row],[_IsLeaf]]=1,Tasks[[#This Row],[_LeafTotalWork]]&gt;0),Tasks[[#This Row],[_Res2Work]]&gt;0),Tasks[[#This Row],[_Res2Work]]/(Tasks[[#This Row],[_FinishWorkday]]-Tasks[[#This Row],[_StartWorkday]]+1),0)</f>
        <v>0</v>
      </c>
      <c r="DS203" s="42" t="n">
        <f aca="false">Tasks[[#This Row],[_Res2WorkPerWD]]*MAX(0,Tasks[[#This Row],[_StartWorkday]]-1)</f>
        <v>0</v>
      </c>
      <c r="DT203" s="42" t="n">
        <f aca="false">Tasks[[#This Row],[_Res2Work]]*Tasks[[#This Row],[_LeafProgress]]</f>
        <v>0</v>
      </c>
      <c r="DU203" s="42" t="str">
        <f aca="false">IF(Tasks[[#This Row],[_Res3Text]]="","",IF(Tasks[[#This Row],[_Res3Row]]&gt;0,INDEX(res_Name,Tasks[[#This Row],[_Res3Row]]),TRIM(LEFT(Tasks[[#This Row],[_Res3Text]],FIND("[",Tasks[[#This Row],[_Res3Text]]&amp;"[")-1))))</f>
        <v/>
      </c>
      <c r="DV2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3" s="42" t="n">
        <f aca="false">IF(OR(NOT(Tasks[[#This Row],[_IsLeaf]]=1),Tasks[[#This Row],[_Res3Row]]=0),0,N(Tasks[[#This Row],[_Days]])*HoursPerDay*IF(Tasks[[#This Row],[_Res3Units]]="",DefaultUnits,Tasks[[#This Row],[_Res3Units]]))</f>
        <v>0</v>
      </c>
      <c r="DX203" s="42" t="n">
        <f aca="false">IF(AND(AND(Tasks[[#This Row],[_IsLeaf]]=1,Tasks[[#This Row],[_LeafTotalWork]]&gt;0),Tasks[[#This Row],[_Res3Work]]&gt;0),Tasks[[#This Row],[_Res3Work]]/(Tasks[[#This Row],[_FinishWorkday]]-Tasks[[#This Row],[_StartWorkday]]+1),0)</f>
        <v>0</v>
      </c>
      <c r="DY203" s="42" t="n">
        <f aca="false">Tasks[[#This Row],[_Res3WorkPerWD]]*MAX(0,Tasks[[#This Row],[_StartWorkday]]-1)</f>
        <v>0</v>
      </c>
      <c r="DZ203" s="42" t="n">
        <f aca="false">Tasks[[#This Row],[_Res3Work]]*Tasks[[#This Row],[_LeafProgress]]</f>
        <v>0</v>
      </c>
      <c r="EA203" s="42" t="str">
        <f aca="false">IF(Tasks[[#This Row],[_Res4Text]]="","",IF(Tasks[[#This Row],[_Res4Row]]&gt;0,INDEX(res_Name,Tasks[[#This Row],[_Res4Row]]),TRIM(LEFT(Tasks[[#This Row],[_Res4Text]],FIND("[",Tasks[[#This Row],[_Res4Text]]&amp;"[")-1))))</f>
        <v/>
      </c>
      <c r="EB2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3" s="42" t="n">
        <f aca="false">IF(OR(NOT(Tasks[[#This Row],[_IsLeaf]]=1),Tasks[[#This Row],[_Res4Row]]=0),0,N(Tasks[[#This Row],[_Days]])*HoursPerDay*IF(Tasks[[#This Row],[_Res4Units]]="",DefaultUnits,Tasks[[#This Row],[_Res4Units]]))</f>
        <v>0</v>
      </c>
      <c r="ED203" s="42" t="n">
        <f aca="false">IF(AND(AND(Tasks[[#This Row],[_IsLeaf]]=1,Tasks[[#This Row],[_LeafTotalWork]]&gt;0),Tasks[[#This Row],[_Res4Work]]&gt;0),Tasks[[#This Row],[_Res4Work]]/(Tasks[[#This Row],[_FinishWorkday]]-Tasks[[#This Row],[_StartWorkday]]+1),0)</f>
        <v>0</v>
      </c>
      <c r="EE203" s="42" t="n">
        <f aca="false">Tasks[[#This Row],[_Res4WorkPerWD]]*MAX(0,Tasks[[#This Row],[_StartWorkday]]-1)</f>
        <v>0</v>
      </c>
      <c r="EF203" s="42" t="n">
        <f aca="false">Tasks[[#This Row],[_Res4Work]]*Tasks[[#This Row],[_LeafProgress]]</f>
        <v>0</v>
      </c>
      <c r="EG203" s="42" t="n">
        <f aca="false">IF(ISNUMBER(Tasks[[#This Row],[% Complete]]),Tasks[[#This Row],[% Complete]],IF(Tasks[[#This Row],[Stage]]="",0,IFERROR(INDEX(stg_Pct,MATCH(Tasks[[#This Row],[Stage]],stg_Name,0)),0)))</f>
        <v>0</v>
      </c>
      <c r="EH203" s="42" t="n">
        <f aca="false">IF(NOT(Tasks[[#This Row],[_IsLeaf]]=1),0,IF(N(Tasks[[#This Row],[Actual Finish]])&gt;0,1,MIN(1,Tasks[[#This Row],[_Pct]])))</f>
        <v>0</v>
      </c>
      <c r="EI203" s="42" t="n">
        <f aca="false">IF(OR(NOT(Tasks[[#This Row],[_IsLeaf]]=1),Tasks[[#This Row],[_Res1Row]]=0),0,N(Tasks[[#This Row],[_Days]])*HoursPerDay*IF(Tasks[[#This Row],[_Units1]]="",DefaultUnits,Tasks[[#This Row],[_Units1]]))</f>
        <v>0</v>
      </c>
      <c r="EJ203" s="42" t="n">
        <f aca="false">Tasks[[#This Row],[_LeafWork]]+Tasks[[#This Row],[_Res2Work]]+Tasks[[#This Row],[_Res3Work]]+Tasks[[#This Row],[_Res4Work]]</f>
        <v>0</v>
      </c>
      <c r="EK2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3" s="42" t="n">
        <f aca="false">IF(NOT(Tasks[[#This Row],[_IsLeaf]]=1),0,MAX(_xlfn.MAXIFS(Tasks[_Row],Tasks[_Pred1UID],Tasks[[#This Row],[UID]]),_xlfn.MAXIFS(Tasks[_Row],Tasks[_Pred2UID],Tasks[[#This Row],[UID]]),_xlfn.MAXIFS(Tasks[_Row],Tasks[_Pred3UID],Tasks[[#This Row],[UID]]),_xlfn.MAXIFS(Tasks[_Row],Tasks[_Pred4UID],Tasks[[#This Row],[UID]])))</f>
        <v>0</v>
      </c>
      <c r="ET2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3" s="89" t="str">
        <f aca="false">IF(NOT(Tasks[[#This Row],[_IsLeaf]]=1),"",IF(N(Tasks[[#This Row],[_Days]])&lt;=0,Tasks[[#This Row],[_LeafLateFinish]],WORKDAY.INTL(Tasks[[#This Row],[_LeafLateFinish]],-(Tasks[[#This Row],[_Days]]-1),WorkWeek,Holidays)))</f>
        <v/>
      </c>
      <c r="EW2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3" s="88" t="b">
        <f aca="false">AND(Tasks[[#This Row],[_IsLeaf]]=1,Tasks[[#This Row],[_LeafProgress]]&lt;1,N(Tasks[[#This Row],[_LeafTotalSlack]])&lt;=CriticalSlackDays)</f>
        <v>0</v>
      </c>
      <c r="EY203" s="42" t="n">
        <f aca="false">IF(AND(Tasks[[#This Row],[_IsLeaf]]=1,Tasks[[#This Row],[_ConstraintCode]]=1,Tasks[[#This Row],[Mode]]&lt;&gt;"Manual",N(Tasks[[#This Row],[Actual Start]])=0),MAX(0,N(Tasks[[#This Row],[Free Slack]])),0)</f>
        <v>0</v>
      </c>
      <c r="EZ203" s="89" t="str">
        <f aca="false">IF(NOT(Tasks[[#This Row],[_IsLeaf]]=1),"",IF(Tasks[[#This Row],[_AlapShift]]=0,Tasks[[#This Row],[_LeafCalcStart]],WORKDAY.INTL(Tasks[[#This Row],[_LeafCalcStart]],Tasks[[#This Row],[_AlapShift]],WorkWeek,Holidays)))</f>
        <v/>
      </c>
      <c r="FA203" s="89" t="str">
        <f aca="false">IF(NOT(Tasks[[#This Row],[_IsLeaf]]=1),"",IF(Tasks[[#This Row],[_AlapShift]]=0,Tasks[[#This Row],[_LeafCalcFinish]],WORKDAY.INTL(Tasks[[#This Row],[_LeafCalcFinish]],Tasks[[#This Row],[_AlapShift]],WorkWeek,Holidays)))</f>
        <v/>
      </c>
      <c r="FB203" s="89" t="str">
        <f aca="false">IF(NOT(Tasks[[#This Row],[_IsLeaf]]=1),"",IF(Tasks[[#This Row],[_AlapShift]]=0,Tasks[[#This Row],[_LeafFcstStart]],WORKDAY.INTL(Tasks[[#This Row],[_LeafFcstStart]],Tasks[[#This Row],[_AlapShift]],WorkWeek,Holidays)))</f>
        <v/>
      </c>
      <c r="FC203" s="89" t="str">
        <f aca="false">IF(NOT(Tasks[[#This Row],[_IsLeaf]]=1),"",IF(Tasks[[#This Row],[_AlapShift]]=0,Tasks[[#This Row],[_LeafFcstFinish]],WORKDAY.INTL(Tasks[[#This Row],[_LeafFcstFinish]],Tasks[[#This Row],[_AlapShift]],WorkWeek,Holidays)))</f>
        <v/>
      </c>
      <c r="FD203" s="89" t="str">
        <f aca="false">IF(Tasks[[#This Row],[Task Name]]="","",IF(Tasks[[#This Row],[_IsSummary]],MIN(INDEX(Tasks[_ShownCalcStart],Tasks[[#This Row],[_Row]]+1):INDEX(Tasks[_ShownCalcStart],Tasks[[#This Row],[_Row]]+Tasks[[#This Row],[_Descendants]])),Tasks[[#This Row],[_ShownCalcStart]]))</f>
        <v/>
      </c>
      <c r="FE203" s="89" t="str">
        <f aca="false">IF(Tasks[[#This Row],[Task Name]]="","",IF(Tasks[[#This Row],[_IsSummary]],MAX(INDEX(Tasks[_ShownCalcFinish],Tasks[[#This Row],[_Row]]+1):INDEX(Tasks[_ShownCalcFinish],Tasks[[#This Row],[_Row]]+Tasks[[#This Row],[_Descendants]])),Tasks[[#This Row],[_ShownCalcFinish]]))</f>
        <v/>
      </c>
      <c r="FF2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3" s="42" t="n">
        <f aca="false">IF(AND(Tasks[[#This Row],[_IsLeaf]]=1,Tasks[[#This Row],[_LeafTotalWork]]&gt;0),NETWORKDAYS.INTL(ProjectStart,Tasks[[#This Row],[_ShownFcstStart]],WorkWeek,Holidays),0)</f>
        <v>0</v>
      </c>
      <c r="FS203" s="42" t="n">
        <f aca="false">IF(AND(Tasks[[#This Row],[_IsLeaf]]=1,Tasks[[#This Row],[_LeafTotalWork]]&gt;0),MAX(Tasks[[#This Row],[_StartWorkday]],NETWORKDAYS.INTL(ProjectStart,Tasks[[#This Row],[_ShownFcstFinish]],WorkWeek,Holidays)),0)</f>
        <v>0</v>
      </c>
      <c r="FT203" s="42" t="n">
        <f aca="false">IF(AND(Tasks[[#This Row],[_IsLeaf]]=1,Tasks[[#This Row],[_LeafTotalWork]]&gt;0),Tasks[[#This Row],[_LeafWork]]/(Tasks[[#This Row],[_FinishWorkday]]-Tasks[[#This Row],[_StartWorkday]]+1),0)</f>
        <v>0</v>
      </c>
      <c r="FU203" s="42" t="n">
        <f aca="false">Tasks[[#This Row],[_WorkPerWorkday]]*(Tasks[[#This Row],[_StartWorkday]]-1)</f>
        <v>-0</v>
      </c>
      <c r="FV203" s="42" t="n">
        <f aca="false">IF(Tasks[[#This Row],[_IsLeaf]]=1,MAX(N(Tasks[[#This Row],[_Days]]),0.1),0)</f>
        <v>0</v>
      </c>
      <c r="FW203" s="42" t="n">
        <f aca="false">Tasks[[#This Row],[_WeightDur]]*Tasks[[#This Row],[_LeafProgress]]</f>
        <v>0</v>
      </c>
      <c r="FX203" s="42" t="n">
        <f aca="false">Tasks[[#This Row],[_WeightDur]]*Tasks[[#This Row],[_PlannedPct]]</f>
        <v>0</v>
      </c>
      <c r="FY2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3" s="42" t="str">
        <f aca="false">IF(AND(Tasks[[#This Row],[_IsLeaf]]=1,N(Tasks[[#This Row],[_Days]])=0,Tasks[[#This Row],[_LeafProgress]]&lt;1),Tasks[[#This Row],[_ShownFcstFinish]]+Tasks[[#This Row],[_Row]]/100000,"")</f>
        <v/>
      </c>
      <c r="GA2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3" s="42" t="str">
        <f aca="false">IF(Tasks[[#This Row],[Task Name]]="","",LEFT(Tasks[[#This Row],[WBS]],FIND(".",Tasks[[#This Row],[WBS]]&amp;".")-1))</f>
        <v/>
      </c>
      <c r="GC203" s="42" t="str">
        <f aca="false">IF(AND(Tasks[[#This Row],[Task Name]]&lt;&gt;"",Tasks[[#This Row],[_Level]]=1),Tasks[[#This Row],[_Row]],"")</f>
        <v/>
      </c>
      <c r="GD203" s="42" t="str">
        <f aca="false">IF(AND(Tasks[[#This Row],[_IsLeaf]]=1,N(Tasks[[#This Row],[_Days]])=0),Tasks[[#This Row],[Planned Finish]]+Tasks[[#This Row],[_Row]]/100000,"")</f>
        <v/>
      </c>
      <c r="GE203" s="42" t="str">
        <f aca="false">IF(AND(Tasks[[#This Row],[_IsLeaf]]=1,Tasks[[#This Row],[_LeafProgress]]&lt;1,OR(N(Tasks[[#This Row],[Finish Var]])&gt;0,Tasks[[#This Row],[Status]]="Late Start")),MAX(0,Tasks[[#This Row],[Finish Var]])+1-Tasks[[#This Row],[_Row]]/1000000,"")</f>
        <v/>
      </c>
      <c r="GF203" s="42" t="str">
        <f aca="false">IF(AND(Tasks[[#This Row],[_IsLeaf]]=1,N(Tasks[[#This Row],[Actual Start]])=0,Tasks[[#This Row],[_ShownFcstStart]]&gt;=StatusDate,Tasks[[#This Row],[_ShownFcstStart]]&lt;=LookaheadEnd),Tasks[[#This Row],[_ShownFcstStart]]+Tasks[[#This Row],[_Row]]/100000,"")</f>
        <v/>
      </c>
      <c r="GG203" s="42" t="str">
        <f aca="false">IF(AND(Tasks[[#This Row],[_IsLeaf]]=1,Tasks[[#This Row],[_LeafProgress]]&lt;1,Tasks[[#This Row],[_ShownFcstFinish]]&gt;=StatusDate,Tasks[[#This Row],[_ShownFcstFinish]]&lt;=LookaheadEnd),Tasks[[#This Row],[_ShownFcstFinish]]+Tasks[[#This Row],[_Row]]/100000,"")</f>
        <v/>
      </c>
      <c r="GH203" s="42" t="str">
        <f aca="false">IF(Tasks[[#This Row],[_LeafCritical]],Tasks[[#This Row],[_ShownFcstStart]]+Tasks[[#This Row],[_Row]]/100000,"")</f>
        <v/>
      </c>
      <c r="GI203" s="42" t="n">
        <f aca="false">Tasks[[#This Row],[_LeafWork]]*Tasks[[#This Row],[_LeafProgress]]</f>
        <v>0</v>
      </c>
      <c r="GJ203" s="89" t="str">
        <f aca="false">IF(AND(Tasks[[#This Row],[_IsLeaf]]=1,Tasks[[#This Row],[_LeafProgress]]&gt;=1),IF(N(Tasks[[#This Row],[Actual Finish]])&gt;0,Tasks[[#This Row],[Actual Finish]],Tasks[[#This Row],[_ShownFcstFinish]]),"")</f>
        <v/>
      </c>
      <c r="GK203" s="42" t="n">
        <f aca="false">IF(Tasks[[#This Row],[_IsLeaf]]=1,N(Tasks[[#This Row],[Story Points]]),0)</f>
        <v>0</v>
      </c>
      <c r="GL203" s="42" t="str">
        <f aca="false">""</f>
        <v/>
      </c>
      <c r="GM203" s="88" t="b">
        <f aca="false">IF(Tasks[[#This Row],[Task Name]]="",FALSE(),AND(Tasks[[#This Row],[_IsLeaf]]=1,N(Tasks[[#This Row],[_Days]])=0))</f>
        <v>0</v>
      </c>
      <c r="GN203" s="89" t="n">
        <f aca="false">IF(Tasks[[#This Row],[Task Name]]="",0,IF(AND(Tasks[[#This Row],[_IsLeaf]]=1,NOT(Tasks[[#This Row],[_IsMilestone]]),N(Tasks[[#This Row],[Progress]])&gt;0),Tasks[[#This Row],[Start]],0))</f>
        <v>0</v>
      </c>
      <c r="GO203" s="89" t="n">
        <f aca="false">IF(Tasks[[#This Row],[_DoneFrom]]=0,0,IF(Tasks[[#This Row],[Progress]]&gt;=1,Tasks[[#This Row],[Finish]],MAX(Tasks[[#This Row],[_DoneFrom]],Tasks[[#This Row],[Start]]+ROUND((Tasks[[#This Row],[Finish]]-Tasks[[#This Row],[Start]]+1)*Tasks[[#This Row],[Progress]],0)-1)))</f>
        <v>0</v>
      </c>
      <c r="GP203" s="89" t="n">
        <f aca="false">IF(Tasks[[#This Row],[Task Name]]="",0,IF(OR(NOT(Tasks[[#This Row],[_IsLeaf]]=1),Tasks[[#This Row],[_IsMilestone]],N(Tasks[[#This Row],[Progress]])&gt;=1),0,IF(Tasks[[#This Row],[_DoneTo]]&gt;0,Tasks[[#This Row],[_DoneTo]]+1,Tasks[[#This Row],[Start]])))</f>
        <v>0</v>
      </c>
      <c r="GQ203" s="89" t="n">
        <f aca="false">IF(Tasks[[#This Row],[_RemFrom]]=0,0,Tasks[[#This Row],[Finish]])</f>
        <v>0</v>
      </c>
      <c r="GR203" s="88" t="b">
        <f aca="false">IF(Tasks[[#This Row],[Task Name]]="",FALSE(),OR(NOT(BaselineSet),N(Tasks[[#This Row],[Baseline Start]])&gt;0))</f>
        <v>0</v>
      </c>
      <c r="GS2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3" s="90" t="str">
        <f aca="false">IF(Tasks[[#This Row],[_IsLeaf]]=1,Tasks[[#This Row],[_Row]],"")</f>
        <v/>
      </c>
      <c r="GW203" s="90" t="str">
        <f aca="false">IFERROR(INDEX(Tasks[UID],SMALL(Tasks[_PickKey],Tasks[[#This Row],[_Row]]))&amp;" "&amp;INDEX(Tasks[Task Name],SMALL(Tasks[_PickKey],Tasks[[#This Row],[_Row]])),"")</f>
        <v/>
      </c>
      <c r="GX203" s="42" t="str">
        <f aca="false">IF(Tasks[[#This Row],[Task Name]]="","",IF(Tasks[[#This Row],[_IsSummary]],NETWORKDAYS.INTL(Tasks[[#This Row],[Start]],Tasks[[#This Row],[Finish]],WorkWeek,Holidays),N(Tasks[[#This Row],[_Days]])))</f>
        <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3"/>
      <c r="U204" s="23"/>
      <c r="V204" s="83"/>
      <c r="W204" s="23"/>
      <c r="X204" s="83"/>
      <c r="Y204" s="23"/>
      <c r="Z204" s="83"/>
      <c r="AA204" s="23"/>
      <c r="AB204" s="23"/>
      <c r="AC204" s="7"/>
      <c r="AD204" s="7"/>
      <c r="AE204" s="62" t="str">
        <f aca="false">IF(Tasks[[#This Row],[Task Name]]="","",IF(Tasks[[#This Row],[_IsSummary]],MIN(INDEX(Tasks[_ShownFcstStart],Tasks[[#This Row],[_Row]]+1):INDEX(Tasks[_ShownFcstStart],Tasks[[#This Row],[_Row]]+Tasks[[#This Row],[_Descendants]])),Tasks[[#This Row],[_ShownFcstStart]]))</f>
        <v/>
      </c>
      <c r="AF204" s="62"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4" s="7"/>
      <c r="AK204" s="22"/>
      <c r="AL204" s="23"/>
      <c r="AM204" s="7"/>
      <c r="AN204" s="46"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2" t="str">
        <f aca="false">IF(Tasks[[#This Row],[Task Name]]="","",IF(N(Tasks[[#This Row],[Baseline Start]])&gt;0,Tasks[[#This Row],[Baseline Start]],Tasks[[#This Row],[_CalcStart]]))</f>
        <v/>
      </c>
      <c r="AR204" s="62" t="str">
        <f aca="false">IF(Tasks[[#This Row],[Task Name]]="","",IF(N(Tasks[[#This Row],[Baseline Finish]])&gt;0,Tasks[[#This Row],[Baseline Finish]],Tasks[[#This Row],[_CalcFinish]]))</f>
        <v/>
      </c>
      <c r="AS204" s="46" t="str">
        <f aca="false">IF(Tasks[[#This Row],[Task Name]]="","",IF(Tasks[[#This Row],[Start]]&gt;=Tasks[[#This Row],[Planned Start]],NETWORKDAYS.INTL(Tasks[[#This Row],[Planned Start]],Tasks[[#This Row],[Start]],WorkWeek,Holidays)-1,1-NETWORKDAYS.INTL(Tasks[[#This Row],[Start]],Tasks[[#This Row],[Planned Start]],WorkWeek,Holidays)))</f>
        <v/>
      </c>
      <c r="AT204" s="62" t="str">
        <f aca="false">IF(Tasks[[#This Row],[Task Name]]="","",IF(Tasks[[#This Row],[_IsSummary]],MIN(INDEX(Tasks[_LeafLateStart],Tasks[[#This Row],[_Row]]+1):INDEX(Tasks[_LeafLateStart],Tasks[[#This Row],[_Row]]+Tasks[[#This Row],[_Descendants]])),Tasks[[#This Row],[_LeafLateStart]]))</f>
        <v/>
      </c>
      <c r="AU204" s="62" t="str">
        <f aca="false">IF(Tasks[[#This Row],[Task Name]]="","",IF(Tasks[[#This Row],[_IsSummary]],MAX(INDEX(Tasks[_LeafLateFinish],Tasks[[#This Row],[_Row]]+1):INDEX(Tasks[_LeafLateFinish],Tasks[[#This Row],[_Row]]+Tasks[[#This Row],[_Descendants]])),Tasks[[#This Row],[_LeafLateFinish]]))</f>
        <v/>
      </c>
      <c r="AV204" s="46"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4"/>
      <c r="BA2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5"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6"/>
      <c r="BJ204" s="22"/>
      <c r="BK204" s="46" t="str">
        <f aca="false">IF(OR(Tasks[[#This Row],[Task Name]]="",Tasks[[#This Row],[Baseline Duration]]=""),"",Tasks[[#This Row],[_SpanDays]]-N(Tasks[[#This Row],[Baseline Duration]]))</f>
        <v/>
      </c>
      <c r="BL204" s="85" t="str">
        <f aca="false">IF(OR(Tasks[[#This Row],[Task Name]]="",Tasks[[#This Row],[Baseline Work]]=""),"",Tasks[[#This Row],[Work]]-N(Tasks[[#This Row],[Baseline Work]]))</f>
        <v/>
      </c>
      <c r="BM204" s="62" t="str">
        <f aca="false">IF(Tasks[[#This Row],[Task Name]]="","",IF(OR(TakeBaseline="Yes",N(Tasks[[#This Row],[Baseline Start]])=0),Tasks[[#This Row],[Start]],Tasks[[#This Row],[Baseline Start]]))</f>
        <v/>
      </c>
      <c r="BN204" s="62"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5" t="str">
        <f aca="false">IF(Tasks[[#This Row],[Task Name]]="","",IF(OR(TakeBaseline="Yes",N(Tasks[[#This Row],[Baseline Work]])=0),Tasks[[#This Row],[Work]],Tasks[[#This Row],[Baseline Work]]))</f>
        <v/>
      </c>
      <c r="BQ204" s="7"/>
      <c r="BR204" s="7"/>
      <c r="BS204" s="22"/>
      <c r="BT204" s="87"/>
      <c r="BU204" s="42" t="str">
        <f aca="false">IF(Tasks[[#This Row],[Task Name]]="","",MAX(1,N(Tasks[[#This Row],[Level]])))</f>
        <v/>
      </c>
      <c r="BV204" s="42" t="n">
        <f aca="false">ROW()-ROW(Tasks[[#Headers],[ID]])</f>
        <v>199</v>
      </c>
      <c r="BW204" s="42" t="n">
        <f aca="false">IF(OR(Tasks[[#This Row],[Task Name]]="",Tasks[[#This Row],[_Level]]&lt;=1),0,IFERROR(LOOKUP(2,1/(Tasks[[#Headers],[_Level]]:Tasks[[#This Row],[_Level]]=Tasks[[#This Row],[_Level]]-1),ROW(Tasks[[#Headers],[_Level]]:Tasks[[#This Row],[_Level]])),0))</f>
        <v>0</v>
      </c>
      <c r="BX204" s="42" t="n">
        <f aca="false">IFERROR(N(INDEX(Tasks[_Level],Tasks[[#This Row],[_Row]]+1)),0)</f>
        <v>0</v>
      </c>
      <c r="BY204" s="88" t="b">
        <f aca="false">AND(Tasks[[#This Row],[Task Name]]&lt;&gt;"",Tasks[[#This Row],[_NextLevel]]&gt;Tasks[[#This Row],[_Level]])</f>
        <v>0</v>
      </c>
      <c r="BZ204" s="42" t="n">
        <f aca="false">IF(Tasks[[#This Row],[_IsSummary]],COUNTIF(Tasks[WBS],Tasks[[#This Row],[WBS]]&amp;".*"),0)</f>
        <v>0</v>
      </c>
      <c r="CA204" s="42" t="n">
        <f aca="false">IF(AND(Tasks[[#This Row],[Task Name]]&lt;&gt;"",NOT(Tasks[[#This Row],[_IsSummary]])),1,0)</f>
        <v>0</v>
      </c>
      <c r="CB204" s="42" t="n">
        <f aca="false">IF(N(Tasks[[#This Row],[_Pred1UID]])=0,0,IFERROR(MATCH(Tasks[[#This Row],[_Pred1UID]],Tasks[UID],0),-1))</f>
        <v>0</v>
      </c>
      <c r="CC204" s="42" t="n">
        <f aca="false">IF(N(Tasks[[#This Row],[_Pred2UID]])=0,0,IFERROR(MATCH(Tasks[[#This Row],[_Pred2UID]],Tasks[UID],0),-1))</f>
        <v>0</v>
      </c>
      <c r="CD204" s="42" t="n">
        <f aca="false">IF(N(Tasks[[#This Row],[_Pred3UID]])=0,0,IFERROR(MATCH(Tasks[[#This Row],[_Pred3UID]],Tasks[UID],0),-1))</f>
        <v>0</v>
      </c>
      <c r="CE204" s="42" t="n">
        <f aca="false">IF(N(Tasks[[#This Row],[_Pred4UID]])=0,0,IFERROR(MATCH(Tasks[[#This Row],[_Pred4UID]],Tasks[UID],0),-1))</f>
        <v>0</v>
      </c>
      <c r="CF2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4" s="89" t="n">
        <f aca="false">IF(OR(Tasks[[#This Row],[_ConstraintCode]]=2,Tasks[[#This Row],[_ConstraintCode]]=3,Tasks[[#This Row],[_ConstraintCode]]=4,Tasks[[#This Row],[_ConstraintCode]]=6),Tasks[[#This Row],[_ConstraintStart]],0)</f>
        <v>0</v>
      </c>
      <c r="CI204" s="89" t="n">
        <f aca="false">IF(OR(Tasks[[#This Row],[_ConstraintCode]]=2,Tasks[[#This Row],[_ConstraintCode]]=3,Tasks[[#This Row],[_ConstraintCode]]=5,Tasks[[#This Row],[_ConstraintCode]]=7),Tasks[[#This Row],[_ConstraintStart]],2958465)</f>
        <v>2958465</v>
      </c>
      <c r="CJ2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4" s="89" t="str">
        <f aca="false">IF(NOT(Tasks[[#This Row],[_IsLeaf]]=1),"",IF(N(Tasks[[#This Row],[_Days]])&lt;=0,Tasks[[#This Row],[_LeafCalcStart]],WORKDAY.INTL(Tasks[[#This Row],[_LeafCalcStart]],Tasks[[#This Row],[_Days]]-1,WorkWeek,Holidays)))</f>
        <v/>
      </c>
      <c r="CL2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4" s="42" t="str">
        <f aca="false">IF(Tasks[[#This Row],[_Predecessors]]="","",TRIM(MID(SUBSTITUTE(SUBSTITUTE(SUBSTITUTE(UPPER(Tasks[[#This Row],[_Predecessors]]),";",",")," ",""),",",REPT(" ",99)),1,99)))</f>
        <v/>
      </c>
      <c r="CO204" s="42" t="str">
        <f aca="false">IF(Tasks[[#This Row],[_Pred1Text]]="","",IFERROR(VALUE(LEFT(Tasks[[#This Row],[_Pred1Text]],MIN(FIND("F",Tasks[[#This Row],[_Pred1Text]]&amp;"F"),FIND("S",Tasks[[#This Row],[_Pred1Text]]&amp;"S"),FIND("+",Tasks[[#This Row],[_Pred1Text]]&amp;"+"),FIND("-",Tasks[[#This Row],[_Pred1Text]]&amp;"-"))-1)),""))</f>
        <v/>
      </c>
      <c r="CP2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4" s="42" t="str">
        <f aca="false">IF(Tasks[[#This Row],[_Pred1Text]]="","",TRIM(MID(SUBSTITUTE(SUBSTITUTE(SUBSTITUTE(UPPER(Tasks[[#This Row],[_Predecessors]]),";",",")," ",""),",",REPT(" ",99)),100,99)))</f>
        <v/>
      </c>
      <c r="CS204" s="42" t="str">
        <f aca="false">IF(Tasks[[#This Row],[_Pred2Text]]="","",IFERROR(VALUE(LEFT(Tasks[[#This Row],[_Pred2Text]],MIN(FIND("F",Tasks[[#This Row],[_Pred2Text]]&amp;"F"),FIND("S",Tasks[[#This Row],[_Pred2Text]]&amp;"S"),FIND("+",Tasks[[#This Row],[_Pred2Text]]&amp;"+"),FIND("-",Tasks[[#This Row],[_Pred2Text]]&amp;"-"))-1)),""))</f>
        <v/>
      </c>
      <c r="CT2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4" s="42" t="str">
        <f aca="false">IF(Tasks[[#This Row],[_Pred2Text]]="","",TRIM(MID(SUBSTITUTE(SUBSTITUTE(SUBSTITUTE(UPPER(Tasks[[#This Row],[_Predecessors]]),";",",")," ",""),",",REPT(" ",99)),199,99)))</f>
        <v/>
      </c>
      <c r="CW204" s="42" t="str">
        <f aca="false">IF(Tasks[[#This Row],[_Pred3Text]]="","",IFERROR(VALUE(LEFT(Tasks[[#This Row],[_Pred3Text]],MIN(FIND("F",Tasks[[#This Row],[_Pred3Text]]&amp;"F"),FIND("S",Tasks[[#This Row],[_Pred3Text]]&amp;"S"),FIND("+",Tasks[[#This Row],[_Pred3Text]]&amp;"+"),FIND("-",Tasks[[#This Row],[_Pred3Text]]&amp;"-"))-1)),""))</f>
        <v/>
      </c>
      <c r="CX2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4" s="42" t="str">
        <f aca="false">IF(Tasks[[#This Row],[_Pred3Text]]="","",TRIM(MID(SUBSTITUTE(SUBSTITUTE(SUBSTITUTE(UPPER(Tasks[[#This Row],[_Predecessors]]),";",",")," ",""),",",REPT(" ",99)),298,99)))</f>
        <v/>
      </c>
      <c r="DA204" s="42" t="str">
        <f aca="false">IF(Tasks[[#This Row],[_Pred4Text]]="","",IFERROR(VALUE(LEFT(Tasks[[#This Row],[_Pred4Text]],MIN(FIND("F",Tasks[[#This Row],[_Pred4Text]]&amp;"F"),FIND("S",Tasks[[#This Row],[_Pred4Text]]&amp;"S"),FIND("+",Tasks[[#This Row],[_Pred4Text]]&amp;"+"),FIND("-",Tasks[[#This Row],[_Pred4Text]]&amp;"-"))-1)),""))</f>
        <v/>
      </c>
      <c r="DB2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4" s="42" t="str">
        <f aca="false">IF(OR(Tasks[[#This Row],[Task Name]]="",Tasks[[#This Row],[_Resources]]=""),"",TRIM(MID(SUBSTITUTE(Tasks[[#This Row],[_Resources]],",",REPT(" ",99)),1,99)))</f>
        <v/>
      </c>
      <c r="DE204" s="42" t="str">
        <f aca="false">IF(Tasks[[#This Row],[_Res1Text]]="","",TRIM(MID(SUBSTITUTE(Tasks[[#This Row],[_Resources]],",",REPT(" ",99)),100,99)))</f>
        <v/>
      </c>
      <c r="DF204" s="42" t="str">
        <f aca="false">IF(Tasks[[#This Row],[_Res2Text]]="","",TRIM(MID(SUBSTITUTE(Tasks[[#This Row],[_Resources]],",",REPT(" ",99)),199,99)))</f>
        <v/>
      </c>
      <c r="DG204" s="42" t="str">
        <f aca="false">IF(Tasks[[#This Row],[_Res3Text]]="","",TRIM(MID(SUBSTITUTE(Tasks[[#This Row],[_Resources]],",",REPT(" ",99)),298,99)))</f>
        <v/>
      </c>
      <c r="DH204" s="42" t="n">
        <f aca="false">IF(Tasks[[#This Row],[_Res1Text]]="",0,IFERROR(MATCH(TRIM(LEFT(Tasks[[#This Row],[_Res1Text]],FIND("[",Tasks[[#This Row],[_Res1Text]]&amp;"[")-1)),res_Name,0),IFERROR(MATCH(TRIM(LEFT(Tasks[[#This Row],[_Res1Text]],FIND("[",Tasks[[#This Row],[_Res1Text]]&amp;"[")-1)),res_Initials,0),0)))</f>
        <v>0</v>
      </c>
      <c r="DI204" s="42" t="n">
        <f aca="false">IF(Tasks[[#This Row],[_Res2Text]]="",0,IFERROR(MATCH(TRIM(LEFT(Tasks[[#This Row],[_Res2Text]],FIND("[",Tasks[[#This Row],[_Res2Text]]&amp;"[")-1)),res_Name,0),IFERROR(MATCH(TRIM(LEFT(Tasks[[#This Row],[_Res2Text]],FIND("[",Tasks[[#This Row],[_Res2Text]]&amp;"[")-1)),res_Initials,0),0)))</f>
        <v>0</v>
      </c>
      <c r="DJ204" s="42" t="n">
        <f aca="false">IF(Tasks[[#This Row],[_Res3Text]]="",0,IFERROR(MATCH(TRIM(LEFT(Tasks[[#This Row],[_Res3Text]],FIND("[",Tasks[[#This Row],[_Res3Text]]&amp;"[")-1)),res_Name,0),IFERROR(MATCH(TRIM(LEFT(Tasks[[#This Row],[_Res3Text]],FIND("[",Tasks[[#This Row],[_Res3Text]]&amp;"[")-1)),res_Initials,0),0)))</f>
        <v>0</v>
      </c>
      <c r="DK204" s="42" t="n">
        <f aca="false">IF(Tasks[[#This Row],[_Res4Text]]="",0,IFERROR(MATCH(TRIM(LEFT(Tasks[[#This Row],[_Res4Text]],FIND("[",Tasks[[#This Row],[_Res4Text]]&amp;"[")-1)),res_Name,0),IFERROR(MATCH(TRIM(LEFT(Tasks[[#This Row],[_Res4Text]],FIND("[",Tasks[[#This Row],[_Res4Text]]&amp;"[")-1)),res_Initials,0),0)))</f>
        <v>0</v>
      </c>
      <c r="DL204" s="42" t="str">
        <f aca="false">IF(Tasks[[#This Row],[_Res1Text]]="","",IF(Tasks[[#This Row],[_Res1Row]]&gt;0,INDEX(res_Name,Tasks[[#This Row],[_Res1Row]]),TRIM(LEFT(Tasks[[#This Row],[_Res1Text]],FIND("[",Tasks[[#This Row],[_Res1Text]]&amp;"[")-1))))</f>
        <v/>
      </c>
      <c r="DM2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4" s="42" t="n">
        <f aca="false">IF(NOT(Tasks[[#This Row],[_IsLeaf]]=1),0,(Tasks[[#This Row],[_Resource1]]&lt;&gt;"")+(Tasks[[#This Row],[_Res2]]&lt;&gt;"")+(Tasks[[#This Row],[_Res3]]&lt;&gt;"")+(Tasks[[#This Row],[_Res4]]&lt;&gt;""))</f>
        <v>0</v>
      </c>
      <c r="DO204" s="42" t="str">
        <f aca="false">IF(Tasks[[#This Row],[_Res2Text]]="","",IF(Tasks[[#This Row],[_Res2Row]]&gt;0,INDEX(res_Name,Tasks[[#This Row],[_Res2Row]]),TRIM(LEFT(Tasks[[#This Row],[_Res2Text]],FIND("[",Tasks[[#This Row],[_Res2Text]]&amp;"[")-1))))</f>
        <v/>
      </c>
      <c r="DP2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4" s="42" t="n">
        <f aca="false">IF(OR(NOT(Tasks[[#This Row],[_IsLeaf]]=1),Tasks[[#This Row],[_Res2Row]]=0),0,N(Tasks[[#This Row],[_Days]])*HoursPerDay*IF(Tasks[[#This Row],[_Res2Units]]="",DefaultUnits,Tasks[[#This Row],[_Res2Units]]))</f>
        <v>0</v>
      </c>
      <c r="DR204" s="42" t="n">
        <f aca="false">IF(AND(AND(Tasks[[#This Row],[_IsLeaf]]=1,Tasks[[#This Row],[_LeafTotalWork]]&gt;0),Tasks[[#This Row],[_Res2Work]]&gt;0),Tasks[[#This Row],[_Res2Work]]/(Tasks[[#This Row],[_FinishWorkday]]-Tasks[[#This Row],[_StartWorkday]]+1),0)</f>
        <v>0</v>
      </c>
      <c r="DS204" s="42" t="n">
        <f aca="false">Tasks[[#This Row],[_Res2WorkPerWD]]*MAX(0,Tasks[[#This Row],[_StartWorkday]]-1)</f>
        <v>0</v>
      </c>
      <c r="DT204" s="42" t="n">
        <f aca="false">Tasks[[#This Row],[_Res2Work]]*Tasks[[#This Row],[_LeafProgress]]</f>
        <v>0</v>
      </c>
      <c r="DU204" s="42" t="str">
        <f aca="false">IF(Tasks[[#This Row],[_Res3Text]]="","",IF(Tasks[[#This Row],[_Res3Row]]&gt;0,INDEX(res_Name,Tasks[[#This Row],[_Res3Row]]),TRIM(LEFT(Tasks[[#This Row],[_Res3Text]],FIND("[",Tasks[[#This Row],[_Res3Text]]&amp;"[")-1))))</f>
        <v/>
      </c>
      <c r="DV2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4" s="42" t="n">
        <f aca="false">IF(OR(NOT(Tasks[[#This Row],[_IsLeaf]]=1),Tasks[[#This Row],[_Res3Row]]=0),0,N(Tasks[[#This Row],[_Days]])*HoursPerDay*IF(Tasks[[#This Row],[_Res3Units]]="",DefaultUnits,Tasks[[#This Row],[_Res3Units]]))</f>
        <v>0</v>
      </c>
      <c r="DX204" s="42" t="n">
        <f aca="false">IF(AND(AND(Tasks[[#This Row],[_IsLeaf]]=1,Tasks[[#This Row],[_LeafTotalWork]]&gt;0),Tasks[[#This Row],[_Res3Work]]&gt;0),Tasks[[#This Row],[_Res3Work]]/(Tasks[[#This Row],[_FinishWorkday]]-Tasks[[#This Row],[_StartWorkday]]+1),0)</f>
        <v>0</v>
      </c>
      <c r="DY204" s="42" t="n">
        <f aca="false">Tasks[[#This Row],[_Res3WorkPerWD]]*MAX(0,Tasks[[#This Row],[_StartWorkday]]-1)</f>
        <v>0</v>
      </c>
      <c r="DZ204" s="42" t="n">
        <f aca="false">Tasks[[#This Row],[_Res3Work]]*Tasks[[#This Row],[_LeafProgress]]</f>
        <v>0</v>
      </c>
      <c r="EA204" s="42" t="str">
        <f aca="false">IF(Tasks[[#This Row],[_Res4Text]]="","",IF(Tasks[[#This Row],[_Res4Row]]&gt;0,INDEX(res_Name,Tasks[[#This Row],[_Res4Row]]),TRIM(LEFT(Tasks[[#This Row],[_Res4Text]],FIND("[",Tasks[[#This Row],[_Res4Text]]&amp;"[")-1))))</f>
        <v/>
      </c>
      <c r="EB2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4" s="42" t="n">
        <f aca="false">IF(OR(NOT(Tasks[[#This Row],[_IsLeaf]]=1),Tasks[[#This Row],[_Res4Row]]=0),0,N(Tasks[[#This Row],[_Days]])*HoursPerDay*IF(Tasks[[#This Row],[_Res4Units]]="",DefaultUnits,Tasks[[#This Row],[_Res4Units]]))</f>
        <v>0</v>
      </c>
      <c r="ED204" s="42" t="n">
        <f aca="false">IF(AND(AND(Tasks[[#This Row],[_IsLeaf]]=1,Tasks[[#This Row],[_LeafTotalWork]]&gt;0),Tasks[[#This Row],[_Res4Work]]&gt;0),Tasks[[#This Row],[_Res4Work]]/(Tasks[[#This Row],[_FinishWorkday]]-Tasks[[#This Row],[_StartWorkday]]+1),0)</f>
        <v>0</v>
      </c>
      <c r="EE204" s="42" t="n">
        <f aca="false">Tasks[[#This Row],[_Res4WorkPerWD]]*MAX(0,Tasks[[#This Row],[_StartWorkday]]-1)</f>
        <v>0</v>
      </c>
      <c r="EF204" s="42" t="n">
        <f aca="false">Tasks[[#This Row],[_Res4Work]]*Tasks[[#This Row],[_LeafProgress]]</f>
        <v>0</v>
      </c>
      <c r="EG204" s="42" t="n">
        <f aca="false">IF(ISNUMBER(Tasks[[#This Row],[% Complete]]),Tasks[[#This Row],[% Complete]],IF(Tasks[[#This Row],[Stage]]="",0,IFERROR(INDEX(stg_Pct,MATCH(Tasks[[#This Row],[Stage]],stg_Name,0)),0)))</f>
        <v>0</v>
      </c>
      <c r="EH204" s="42" t="n">
        <f aca="false">IF(NOT(Tasks[[#This Row],[_IsLeaf]]=1),0,IF(N(Tasks[[#This Row],[Actual Finish]])&gt;0,1,MIN(1,Tasks[[#This Row],[_Pct]])))</f>
        <v>0</v>
      </c>
      <c r="EI204" s="42" t="n">
        <f aca="false">IF(OR(NOT(Tasks[[#This Row],[_IsLeaf]]=1),Tasks[[#This Row],[_Res1Row]]=0),0,N(Tasks[[#This Row],[_Days]])*HoursPerDay*IF(Tasks[[#This Row],[_Units1]]="",DefaultUnits,Tasks[[#This Row],[_Units1]]))</f>
        <v>0</v>
      </c>
      <c r="EJ204" s="42" t="n">
        <f aca="false">Tasks[[#This Row],[_LeafWork]]+Tasks[[#This Row],[_Res2Work]]+Tasks[[#This Row],[_Res3Work]]+Tasks[[#This Row],[_Res4Work]]</f>
        <v>0</v>
      </c>
      <c r="EK2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4" s="42" t="n">
        <f aca="false">IF(NOT(Tasks[[#This Row],[_IsLeaf]]=1),0,MAX(_xlfn.MAXIFS(Tasks[_Row],Tasks[_Pred1UID],Tasks[[#This Row],[UID]]),_xlfn.MAXIFS(Tasks[_Row],Tasks[_Pred2UID],Tasks[[#This Row],[UID]]),_xlfn.MAXIFS(Tasks[_Row],Tasks[_Pred3UID],Tasks[[#This Row],[UID]]),_xlfn.MAXIFS(Tasks[_Row],Tasks[_Pred4UID],Tasks[[#This Row],[UID]])))</f>
        <v>0</v>
      </c>
      <c r="ET2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4" s="89" t="str">
        <f aca="false">IF(NOT(Tasks[[#This Row],[_IsLeaf]]=1),"",IF(N(Tasks[[#This Row],[_Days]])&lt;=0,Tasks[[#This Row],[_LeafLateFinish]],WORKDAY.INTL(Tasks[[#This Row],[_LeafLateFinish]],-(Tasks[[#This Row],[_Days]]-1),WorkWeek,Holidays)))</f>
        <v/>
      </c>
      <c r="EW2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4" s="88" t="b">
        <f aca="false">AND(Tasks[[#This Row],[_IsLeaf]]=1,Tasks[[#This Row],[_LeafProgress]]&lt;1,N(Tasks[[#This Row],[_LeafTotalSlack]])&lt;=CriticalSlackDays)</f>
        <v>0</v>
      </c>
      <c r="EY204" s="42" t="n">
        <f aca="false">IF(AND(Tasks[[#This Row],[_IsLeaf]]=1,Tasks[[#This Row],[_ConstraintCode]]=1,Tasks[[#This Row],[Mode]]&lt;&gt;"Manual",N(Tasks[[#This Row],[Actual Start]])=0),MAX(0,N(Tasks[[#This Row],[Free Slack]])),0)</f>
        <v>0</v>
      </c>
      <c r="EZ204" s="89" t="str">
        <f aca="false">IF(NOT(Tasks[[#This Row],[_IsLeaf]]=1),"",IF(Tasks[[#This Row],[_AlapShift]]=0,Tasks[[#This Row],[_LeafCalcStart]],WORKDAY.INTL(Tasks[[#This Row],[_LeafCalcStart]],Tasks[[#This Row],[_AlapShift]],WorkWeek,Holidays)))</f>
        <v/>
      </c>
      <c r="FA204" s="89" t="str">
        <f aca="false">IF(NOT(Tasks[[#This Row],[_IsLeaf]]=1),"",IF(Tasks[[#This Row],[_AlapShift]]=0,Tasks[[#This Row],[_LeafCalcFinish]],WORKDAY.INTL(Tasks[[#This Row],[_LeafCalcFinish]],Tasks[[#This Row],[_AlapShift]],WorkWeek,Holidays)))</f>
        <v/>
      </c>
      <c r="FB204" s="89" t="str">
        <f aca="false">IF(NOT(Tasks[[#This Row],[_IsLeaf]]=1),"",IF(Tasks[[#This Row],[_AlapShift]]=0,Tasks[[#This Row],[_LeafFcstStart]],WORKDAY.INTL(Tasks[[#This Row],[_LeafFcstStart]],Tasks[[#This Row],[_AlapShift]],WorkWeek,Holidays)))</f>
        <v/>
      </c>
      <c r="FC204" s="89" t="str">
        <f aca="false">IF(NOT(Tasks[[#This Row],[_IsLeaf]]=1),"",IF(Tasks[[#This Row],[_AlapShift]]=0,Tasks[[#This Row],[_LeafFcstFinish]],WORKDAY.INTL(Tasks[[#This Row],[_LeafFcstFinish]],Tasks[[#This Row],[_AlapShift]],WorkWeek,Holidays)))</f>
        <v/>
      </c>
      <c r="FD204" s="89" t="str">
        <f aca="false">IF(Tasks[[#This Row],[Task Name]]="","",IF(Tasks[[#This Row],[_IsSummary]],MIN(INDEX(Tasks[_ShownCalcStart],Tasks[[#This Row],[_Row]]+1):INDEX(Tasks[_ShownCalcStart],Tasks[[#This Row],[_Row]]+Tasks[[#This Row],[_Descendants]])),Tasks[[#This Row],[_ShownCalcStart]]))</f>
        <v/>
      </c>
      <c r="FE204" s="89" t="str">
        <f aca="false">IF(Tasks[[#This Row],[Task Name]]="","",IF(Tasks[[#This Row],[_IsSummary]],MAX(INDEX(Tasks[_ShownCalcFinish],Tasks[[#This Row],[_Row]]+1):INDEX(Tasks[_ShownCalcFinish],Tasks[[#This Row],[_Row]]+Tasks[[#This Row],[_Descendants]])),Tasks[[#This Row],[_ShownCalcFinish]]))</f>
        <v/>
      </c>
      <c r="FF2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4" s="42" t="n">
        <f aca="false">IF(AND(Tasks[[#This Row],[_IsLeaf]]=1,Tasks[[#This Row],[_LeafTotalWork]]&gt;0),NETWORKDAYS.INTL(ProjectStart,Tasks[[#This Row],[_ShownFcstStart]],WorkWeek,Holidays),0)</f>
        <v>0</v>
      </c>
      <c r="FS204" s="42" t="n">
        <f aca="false">IF(AND(Tasks[[#This Row],[_IsLeaf]]=1,Tasks[[#This Row],[_LeafTotalWork]]&gt;0),MAX(Tasks[[#This Row],[_StartWorkday]],NETWORKDAYS.INTL(ProjectStart,Tasks[[#This Row],[_ShownFcstFinish]],WorkWeek,Holidays)),0)</f>
        <v>0</v>
      </c>
      <c r="FT204" s="42" t="n">
        <f aca="false">IF(AND(Tasks[[#This Row],[_IsLeaf]]=1,Tasks[[#This Row],[_LeafTotalWork]]&gt;0),Tasks[[#This Row],[_LeafWork]]/(Tasks[[#This Row],[_FinishWorkday]]-Tasks[[#This Row],[_StartWorkday]]+1),0)</f>
        <v>0</v>
      </c>
      <c r="FU204" s="42" t="n">
        <f aca="false">Tasks[[#This Row],[_WorkPerWorkday]]*(Tasks[[#This Row],[_StartWorkday]]-1)</f>
        <v>-0</v>
      </c>
      <c r="FV204" s="42" t="n">
        <f aca="false">IF(Tasks[[#This Row],[_IsLeaf]]=1,MAX(N(Tasks[[#This Row],[_Days]]),0.1),0)</f>
        <v>0</v>
      </c>
      <c r="FW204" s="42" t="n">
        <f aca="false">Tasks[[#This Row],[_WeightDur]]*Tasks[[#This Row],[_LeafProgress]]</f>
        <v>0</v>
      </c>
      <c r="FX204" s="42" t="n">
        <f aca="false">Tasks[[#This Row],[_WeightDur]]*Tasks[[#This Row],[_PlannedPct]]</f>
        <v>0</v>
      </c>
      <c r="FY2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4" s="42" t="str">
        <f aca="false">IF(AND(Tasks[[#This Row],[_IsLeaf]]=1,N(Tasks[[#This Row],[_Days]])=0,Tasks[[#This Row],[_LeafProgress]]&lt;1),Tasks[[#This Row],[_ShownFcstFinish]]+Tasks[[#This Row],[_Row]]/100000,"")</f>
        <v/>
      </c>
      <c r="GA2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4" s="42" t="str">
        <f aca="false">IF(Tasks[[#This Row],[Task Name]]="","",LEFT(Tasks[[#This Row],[WBS]],FIND(".",Tasks[[#This Row],[WBS]]&amp;".")-1))</f>
        <v/>
      </c>
      <c r="GC204" s="42" t="str">
        <f aca="false">IF(AND(Tasks[[#This Row],[Task Name]]&lt;&gt;"",Tasks[[#This Row],[_Level]]=1),Tasks[[#This Row],[_Row]],"")</f>
        <v/>
      </c>
      <c r="GD204" s="42" t="str">
        <f aca="false">IF(AND(Tasks[[#This Row],[_IsLeaf]]=1,N(Tasks[[#This Row],[_Days]])=0),Tasks[[#This Row],[Planned Finish]]+Tasks[[#This Row],[_Row]]/100000,"")</f>
        <v/>
      </c>
      <c r="GE204" s="42" t="str">
        <f aca="false">IF(AND(Tasks[[#This Row],[_IsLeaf]]=1,Tasks[[#This Row],[_LeafProgress]]&lt;1,OR(N(Tasks[[#This Row],[Finish Var]])&gt;0,Tasks[[#This Row],[Status]]="Late Start")),MAX(0,Tasks[[#This Row],[Finish Var]])+1-Tasks[[#This Row],[_Row]]/1000000,"")</f>
        <v/>
      </c>
      <c r="GF204" s="42" t="str">
        <f aca="false">IF(AND(Tasks[[#This Row],[_IsLeaf]]=1,N(Tasks[[#This Row],[Actual Start]])=0,Tasks[[#This Row],[_ShownFcstStart]]&gt;=StatusDate,Tasks[[#This Row],[_ShownFcstStart]]&lt;=LookaheadEnd),Tasks[[#This Row],[_ShownFcstStart]]+Tasks[[#This Row],[_Row]]/100000,"")</f>
        <v/>
      </c>
      <c r="GG204" s="42" t="str">
        <f aca="false">IF(AND(Tasks[[#This Row],[_IsLeaf]]=1,Tasks[[#This Row],[_LeafProgress]]&lt;1,Tasks[[#This Row],[_ShownFcstFinish]]&gt;=StatusDate,Tasks[[#This Row],[_ShownFcstFinish]]&lt;=LookaheadEnd),Tasks[[#This Row],[_ShownFcstFinish]]+Tasks[[#This Row],[_Row]]/100000,"")</f>
        <v/>
      </c>
      <c r="GH204" s="42" t="str">
        <f aca="false">IF(Tasks[[#This Row],[_LeafCritical]],Tasks[[#This Row],[_ShownFcstStart]]+Tasks[[#This Row],[_Row]]/100000,"")</f>
        <v/>
      </c>
      <c r="GI204" s="42" t="n">
        <f aca="false">Tasks[[#This Row],[_LeafWork]]*Tasks[[#This Row],[_LeafProgress]]</f>
        <v>0</v>
      </c>
      <c r="GJ204" s="89" t="str">
        <f aca="false">IF(AND(Tasks[[#This Row],[_IsLeaf]]=1,Tasks[[#This Row],[_LeafProgress]]&gt;=1),IF(N(Tasks[[#This Row],[Actual Finish]])&gt;0,Tasks[[#This Row],[Actual Finish]],Tasks[[#This Row],[_ShownFcstFinish]]),"")</f>
        <v/>
      </c>
      <c r="GK204" s="42" t="n">
        <f aca="false">IF(Tasks[[#This Row],[_IsLeaf]]=1,N(Tasks[[#This Row],[Story Points]]),0)</f>
        <v>0</v>
      </c>
      <c r="GL204" s="42" t="str">
        <f aca="false">""</f>
        <v/>
      </c>
      <c r="GM204" s="88" t="b">
        <f aca="false">IF(Tasks[[#This Row],[Task Name]]="",FALSE(),AND(Tasks[[#This Row],[_IsLeaf]]=1,N(Tasks[[#This Row],[_Days]])=0))</f>
        <v>0</v>
      </c>
      <c r="GN204" s="89" t="n">
        <f aca="false">IF(Tasks[[#This Row],[Task Name]]="",0,IF(AND(Tasks[[#This Row],[_IsLeaf]]=1,NOT(Tasks[[#This Row],[_IsMilestone]]),N(Tasks[[#This Row],[Progress]])&gt;0),Tasks[[#This Row],[Start]],0))</f>
        <v>0</v>
      </c>
      <c r="GO204" s="89" t="n">
        <f aca="false">IF(Tasks[[#This Row],[_DoneFrom]]=0,0,IF(Tasks[[#This Row],[Progress]]&gt;=1,Tasks[[#This Row],[Finish]],MAX(Tasks[[#This Row],[_DoneFrom]],Tasks[[#This Row],[Start]]+ROUND((Tasks[[#This Row],[Finish]]-Tasks[[#This Row],[Start]]+1)*Tasks[[#This Row],[Progress]],0)-1)))</f>
        <v>0</v>
      </c>
      <c r="GP204" s="89" t="n">
        <f aca="false">IF(Tasks[[#This Row],[Task Name]]="",0,IF(OR(NOT(Tasks[[#This Row],[_IsLeaf]]=1),Tasks[[#This Row],[_IsMilestone]],N(Tasks[[#This Row],[Progress]])&gt;=1),0,IF(Tasks[[#This Row],[_DoneTo]]&gt;0,Tasks[[#This Row],[_DoneTo]]+1,Tasks[[#This Row],[Start]])))</f>
        <v>0</v>
      </c>
      <c r="GQ204" s="89" t="n">
        <f aca="false">IF(Tasks[[#This Row],[_RemFrom]]=0,0,Tasks[[#This Row],[Finish]])</f>
        <v>0</v>
      </c>
      <c r="GR204" s="88" t="b">
        <f aca="false">IF(Tasks[[#This Row],[Task Name]]="",FALSE(),OR(NOT(BaselineSet),N(Tasks[[#This Row],[Baseline Start]])&gt;0))</f>
        <v>0</v>
      </c>
      <c r="GS2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4" s="90" t="str">
        <f aca="false">IF(Tasks[[#This Row],[_IsLeaf]]=1,Tasks[[#This Row],[_Row]],"")</f>
        <v/>
      </c>
      <c r="GW204" s="90" t="str">
        <f aca="false">IFERROR(INDEX(Tasks[UID],SMALL(Tasks[_PickKey],Tasks[[#This Row],[_Row]]))&amp;" "&amp;INDEX(Tasks[Task Name],SMALL(Tasks[_PickKey],Tasks[[#This Row],[_Row]])),"")</f>
        <v/>
      </c>
      <c r="GX204" s="42" t="str">
        <f aca="false">IF(Tasks[[#This Row],[Task Name]]="","",IF(Tasks[[#This Row],[_IsSummary]],NETWORKDAYS.INTL(Tasks[[#This Row],[Start]],Tasks[[#This Row],[Finish]],WorkWeek,Holidays),N(Tasks[[#This Row],[_Days]])))</f>
        <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3"/>
      <c r="U205" s="23"/>
      <c r="V205" s="83"/>
      <c r="W205" s="23"/>
      <c r="X205" s="83"/>
      <c r="Y205" s="23"/>
      <c r="Z205" s="83"/>
      <c r="AA205" s="23"/>
      <c r="AB205" s="23"/>
      <c r="AC205" s="7"/>
      <c r="AD205" s="7"/>
      <c r="AE205" s="62" t="str">
        <f aca="false">IF(Tasks[[#This Row],[Task Name]]="","",IF(Tasks[[#This Row],[_IsSummary]],MIN(INDEX(Tasks[_ShownFcstStart],Tasks[[#This Row],[_Row]]+1):INDEX(Tasks[_ShownFcstStart],Tasks[[#This Row],[_Row]]+Tasks[[#This Row],[_Descendants]])),Tasks[[#This Row],[_ShownFcstStart]]))</f>
        <v/>
      </c>
      <c r="AF205" s="62"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5" s="7"/>
      <c r="AK205" s="22"/>
      <c r="AL205" s="23"/>
      <c r="AM205" s="7"/>
      <c r="AN205" s="46"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2" t="str">
        <f aca="false">IF(Tasks[[#This Row],[Task Name]]="","",IF(N(Tasks[[#This Row],[Baseline Start]])&gt;0,Tasks[[#This Row],[Baseline Start]],Tasks[[#This Row],[_CalcStart]]))</f>
        <v/>
      </c>
      <c r="AR205" s="62" t="str">
        <f aca="false">IF(Tasks[[#This Row],[Task Name]]="","",IF(N(Tasks[[#This Row],[Baseline Finish]])&gt;0,Tasks[[#This Row],[Baseline Finish]],Tasks[[#This Row],[_CalcFinish]]))</f>
        <v/>
      </c>
      <c r="AS205" s="46" t="str">
        <f aca="false">IF(Tasks[[#This Row],[Task Name]]="","",IF(Tasks[[#This Row],[Start]]&gt;=Tasks[[#This Row],[Planned Start]],NETWORKDAYS.INTL(Tasks[[#This Row],[Planned Start]],Tasks[[#This Row],[Start]],WorkWeek,Holidays)-1,1-NETWORKDAYS.INTL(Tasks[[#This Row],[Start]],Tasks[[#This Row],[Planned Start]],WorkWeek,Holidays)))</f>
        <v/>
      </c>
      <c r="AT205" s="62" t="str">
        <f aca="false">IF(Tasks[[#This Row],[Task Name]]="","",IF(Tasks[[#This Row],[_IsSummary]],MIN(INDEX(Tasks[_LeafLateStart],Tasks[[#This Row],[_Row]]+1):INDEX(Tasks[_LeafLateStart],Tasks[[#This Row],[_Row]]+Tasks[[#This Row],[_Descendants]])),Tasks[[#This Row],[_LeafLateStart]]))</f>
        <v/>
      </c>
      <c r="AU205" s="62" t="str">
        <f aca="false">IF(Tasks[[#This Row],[Task Name]]="","",IF(Tasks[[#This Row],[_IsSummary]],MAX(INDEX(Tasks[_LeafLateFinish],Tasks[[#This Row],[_Row]]+1):INDEX(Tasks[_LeafLateFinish],Tasks[[#This Row],[_Row]]+Tasks[[#This Row],[_Descendants]])),Tasks[[#This Row],[_LeafLateFinish]]))</f>
        <v/>
      </c>
      <c r="AV205" s="46"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4"/>
      <c r="BA2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5"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6"/>
      <c r="BJ205" s="22"/>
      <c r="BK205" s="46" t="str">
        <f aca="false">IF(OR(Tasks[[#This Row],[Task Name]]="",Tasks[[#This Row],[Baseline Duration]]=""),"",Tasks[[#This Row],[_SpanDays]]-N(Tasks[[#This Row],[Baseline Duration]]))</f>
        <v/>
      </c>
      <c r="BL205" s="85" t="str">
        <f aca="false">IF(OR(Tasks[[#This Row],[Task Name]]="",Tasks[[#This Row],[Baseline Work]]=""),"",Tasks[[#This Row],[Work]]-N(Tasks[[#This Row],[Baseline Work]]))</f>
        <v/>
      </c>
      <c r="BM205" s="62" t="str">
        <f aca="false">IF(Tasks[[#This Row],[Task Name]]="","",IF(OR(TakeBaseline="Yes",N(Tasks[[#This Row],[Baseline Start]])=0),Tasks[[#This Row],[Start]],Tasks[[#This Row],[Baseline Start]]))</f>
        <v/>
      </c>
      <c r="BN205" s="62"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5" t="str">
        <f aca="false">IF(Tasks[[#This Row],[Task Name]]="","",IF(OR(TakeBaseline="Yes",N(Tasks[[#This Row],[Baseline Work]])=0),Tasks[[#This Row],[Work]],Tasks[[#This Row],[Baseline Work]]))</f>
        <v/>
      </c>
      <c r="BQ205" s="7"/>
      <c r="BR205" s="7"/>
      <c r="BS205" s="22"/>
      <c r="BT205" s="87"/>
      <c r="BU205" s="42" t="str">
        <f aca="false">IF(Tasks[[#This Row],[Task Name]]="","",MAX(1,N(Tasks[[#This Row],[Level]])))</f>
        <v/>
      </c>
      <c r="BV205" s="42" t="n">
        <f aca="false">ROW()-ROW(Tasks[[#Headers],[ID]])</f>
        <v>200</v>
      </c>
      <c r="BW205" s="42" t="n">
        <f aca="false">IF(OR(Tasks[[#This Row],[Task Name]]="",Tasks[[#This Row],[_Level]]&lt;=1),0,IFERROR(LOOKUP(2,1/(Tasks[[#Headers],[_Level]]:Tasks[[#This Row],[_Level]]=Tasks[[#This Row],[_Level]]-1),ROW(Tasks[[#Headers],[_Level]]:Tasks[[#This Row],[_Level]])),0))</f>
        <v>0</v>
      </c>
      <c r="BX205" s="42" t="n">
        <f aca="false">IFERROR(N(INDEX(Tasks[_Level],Tasks[[#This Row],[_Row]]+1)),0)</f>
        <v>0</v>
      </c>
      <c r="BY205" s="88" t="b">
        <f aca="false">AND(Tasks[[#This Row],[Task Name]]&lt;&gt;"",Tasks[[#This Row],[_NextLevel]]&gt;Tasks[[#This Row],[_Level]])</f>
        <v>0</v>
      </c>
      <c r="BZ205" s="42" t="n">
        <f aca="false">IF(Tasks[[#This Row],[_IsSummary]],COUNTIF(Tasks[WBS],Tasks[[#This Row],[WBS]]&amp;".*"),0)</f>
        <v>0</v>
      </c>
      <c r="CA205" s="42" t="n">
        <f aca="false">IF(AND(Tasks[[#This Row],[Task Name]]&lt;&gt;"",NOT(Tasks[[#This Row],[_IsSummary]])),1,0)</f>
        <v>0</v>
      </c>
      <c r="CB205" s="42" t="n">
        <f aca="false">IF(N(Tasks[[#This Row],[_Pred1UID]])=0,0,IFERROR(MATCH(Tasks[[#This Row],[_Pred1UID]],Tasks[UID],0),-1))</f>
        <v>0</v>
      </c>
      <c r="CC205" s="42" t="n">
        <f aca="false">IF(N(Tasks[[#This Row],[_Pred2UID]])=0,0,IFERROR(MATCH(Tasks[[#This Row],[_Pred2UID]],Tasks[UID],0),-1))</f>
        <v>0</v>
      </c>
      <c r="CD205" s="42" t="n">
        <f aca="false">IF(N(Tasks[[#This Row],[_Pred3UID]])=0,0,IFERROR(MATCH(Tasks[[#This Row],[_Pred3UID]],Tasks[UID],0),-1))</f>
        <v>0</v>
      </c>
      <c r="CE205" s="42" t="n">
        <f aca="false">IF(N(Tasks[[#This Row],[_Pred4UID]])=0,0,IFERROR(MATCH(Tasks[[#This Row],[_Pred4UID]],Tasks[UID],0),-1))</f>
        <v>0</v>
      </c>
      <c r="CF2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5" s="89" t="n">
        <f aca="false">IF(OR(Tasks[[#This Row],[_ConstraintCode]]=2,Tasks[[#This Row],[_ConstraintCode]]=3,Tasks[[#This Row],[_ConstraintCode]]=4,Tasks[[#This Row],[_ConstraintCode]]=6),Tasks[[#This Row],[_ConstraintStart]],0)</f>
        <v>0</v>
      </c>
      <c r="CI205" s="89" t="n">
        <f aca="false">IF(OR(Tasks[[#This Row],[_ConstraintCode]]=2,Tasks[[#This Row],[_ConstraintCode]]=3,Tasks[[#This Row],[_ConstraintCode]]=5,Tasks[[#This Row],[_ConstraintCode]]=7),Tasks[[#This Row],[_ConstraintStart]],2958465)</f>
        <v>2958465</v>
      </c>
      <c r="CJ2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5" s="89" t="str">
        <f aca="false">IF(NOT(Tasks[[#This Row],[_IsLeaf]]=1),"",IF(N(Tasks[[#This Row],[_Days]])&lt;=0,Tasks[[#This Row],[_LeafCalcStart]],WORKDAY.INTL(Tasks[[#This Row],[_LeafCalcStart]],Tasks[[#This Row],[_Days]]-1,WorkWeek,Holidays)))</f>
        <v/>
      </c>
      <c r="CL2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5" s="42" t="str">
        <f aca="false">IF(Tasks[[#This Row],[_Predecessors]]="","",TRIM(MID(SUBSTITUTE(SUBSTITUTE(SUBSTITUTE(UPPER(Tasks[[#This Row],[_Predecessors]]),";",",")," ",""),",",REPT(" ",99)),1,99)))</f>
        <v/>
      </c>
      <c r="CO205" s="42" t="str">
        <f aca="false">IF(Tasks[[#This Row],[_Pred1Text]]="","",IFERROR(VALUE(LEFT(Tasks[[#This Row],[_Pred1Text]],MIN(FIND("F",Tasks[[#This Row],[_Pred1Text]]&amp;"F"),FIND("S",Tasks[[#This Row],[_Pred1Text]]&amp;"S"),FIND("+",Tasks[[#This Row],[_Pred1Text]]&amp;"+"),FIND("-",Tasks[[#This Row],[_Pred1Text]]&amp;"-"))-1)),""))</f>
        <v/>
      </c>
      <c r="CP2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5" s="42" t="str">
        <f aca="false">IF(Tasks[[#This Row],[_Pred1Text]]="","",TRIM(MID(SUBSTITUTE(SUBSTITUTE(SUBSTITUTE(UPPER(Tasks[[#This Row],[_Predecessors]]),";",",")," ",""),",",REPT(" ",99)),100,99)))</f>
        <v/>
      </c>
      <c r="CS205" s="42" t="str">
        <f aca="false">IF(Tasks[[#This Row],[_Pred2Text]]="","",IFERROR(VALUE(LEFT(Tasks[[#This Row],[_Pred2Text]],MIN(FIND("F",Tasks[[#This Row],[_Pred2Text]]&amp;"F"),FIND("S",Tasks[[#This Row],[_Pred2Text]]&amp;"S"),FIND("+",Tasks[[#This Row],[_Pred2Text]]&amp;"+"),FIND("-",Tasks[[#This Row],[_Pred2Text]]&amp;"-"))-1)),""))</f>
        <v/>
      </c>
      <c r="CT2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5" s="42" t="str">
        <f aca="false">IF(Tasks[[#This Row],[_Pred2Text]]="","",TRIM(MID(SUBSTITUTE(SUBSTITUTE(SUBSTITUTE(UPPER(Tasks[[#This Row],[_Predecessors]]),";",",")," ",""),",",REPT(" ",99)),199,99)))</f>
        <v/>
      </c>
      <c r="CW205" s="42" t="str">
        <f aca="false">IF(Tasks[[#This Row],[_Pred3Text]]="","",IFERROR(VALUE(LEFT(Tasks[[#This Row],[_Pred3Text]],MIN(FIND("F",Tasks[[#This Row],[_Pred3Text]]&amp;"F"),FIND("S",Tasks[[#This Row],[_Pred3Text]]&amp;"S"),FIND("+",Tasks[[#This Row],[_Pred3Text]]&amp;"+"),FIND("-",Tasks[[#This Row],[_Pred3Text]]&amp;"-"))-1)),""))</f>
        <v/>
      </c>
      <c r="CX2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5" s="42" t="str">
        <f aca="false">IF(Tasks[[#This Row],[_Pred3Text]]="","",TRIM(MID(SUBSTITUTE(SUBSTITUTE(SUBSTITUTE(UPPER(Tasks[[#This Row],[_Predecessors]]),";",",")," ",""),",",REPT(" ",99)),298,99)))</f>
        <v/>
      </c>
      <c r="DA205" s="42" t="str">
        <f aca="false">IF(Tasks[[#This Row],[_Pred4Text]]="","",IFERROR(VALUE(LEFT(Tasks[[#This Row],[_Pred4Text]],MIN(FIND("F",Tasks[[#This Row],[_Pred4Text]]&amp;"F"),FIND("S",Tasks[[#This Row],[_Pred4Text]]&amp;"S"),FIND("+",Tasks[[#This Row],[_Pred4Text]]&amp;"+"),FIND("-",Tasks[[#This Row],[_Pred4Text]]&amp;"-"))-1)),""))</f>
        <v/>
      </c>
      <c r="DB2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5" s="42" t="str">
        <f aca="false">IF(OR(Tasks[[#This Row],[Task Name]]="",Tasks[[#This Row],[_Resources]]=""),"",TRIM(MID(SUBSTITUTE(Tasks[[#This Row],[_Resources]],",",REPT(" ",99)),1,99)))</f>
        <v/>
      </c>
      <c r="DE205" s="42" t="str">
        <f aca="false">IF(Tasks[[#This Row],[_Res1Text]]="","",TRIM(MID(SUBSTITUTE(Tasks[[#This Row],[_Resources]],",",REPT(" ",99)),100,99)))</f>
        <v/>
      </c>
      <c r="DF205" s="42" t="str">
        <f aca="false">IF(Tasks[[#This Row],[_Res2Text]]="","",TRIM(MID(SUBSTITUTE(Tasks[[#This Row],[_Resources]],",",REPT(" ",99)),199,99)))</f>
        <v/>
      </c>
      <c r="DG205" s="42" t="str">
        <f aca="false">IF(Tasks[[#This Row],[_Res3Text]]="","",TRIM(MID(SUBSTITUTE(Tasks[[#This Row],[_Resources]],",",REPT(" ",99)),298,99)))</f>
        <v/>
      </c>
      <c r="DH205" s="42" t="n">
        <f aca="false">IF(Tasks[[#This Row],[_Res1Text]]="",0,IFERROR(MATCH(TRIM(LEFT(Tasks[[#This Row],[_Res1Text]],FIND("[",Tasks[[#This Row],[_Res1Text]]&amp;"[")-1)),res_Name,0),IFERROR(MATCH(TRIM(LEFT(Tasks[[#This Row],[_Res1Text]],FIND("[",Tasks[[#This Row],[_Res1Text]]&amp;"[")-1)),res_Initials,0),0)))</f>
        <v>0</v>
      </c>
      <c r="DI205" s="42" t="n">
        <f aca="false">IF(Tasks[[#This Row],[_Res2Text]]="",0,IFERROR(MATCH(TRIM(LEFT(Tasks[[#This Row],[_Res2Text]],FIND("[",Tasks[[#This Row],[_Res2Text]]&amp;"[")-1)),res_Name,0),IFERROR(MATCH(TRIM(LEFT(Tasks[[#This Row],[_Res2Text]],FIND("[",Tasks[[#This Row],[_Res2Text]]&amp;"[")-1)),res_Initials,0),0)))</f>
        <v>0</v>
      </c>
      <c r="DJ205" s="42" t="n">
        <f aca="false">IF(Tasks[[#This Row],[_Res3Text]]="",0,IFERROR(MATCH(TRIM(LEFT(Tasks[[#This Row],[_Res3Text]],FIND("[",Tasks[[#This Row],[_Res3Text]]&amp;"[")-1)),res_Name,0),IFERROR(MATCH(TRIM(LEFT(Tasks[[#This Row],[_Res3Text]],FIND("[",Tasks[[#This Row],[_Res3Text]]&amp;"[")-1)),res_Initials,0),0)))</f>
        <v>0</v>
      </c>
      <c r="DK205" s="42" t="n">
        <f aca="false">IF(Tasks[[#This Row],[_Res4Text]]="",0,IFERROR(MATCH(TRIM(LEFT(Tasks[[#This Row],[_Res4Text]],FIND("[",Tasks[[#This Row],[_Res4Text]]&amp;"[")-1)),res_Name,0),IFERROR(MATCH(TRIM(LEFT(Tasks[[#This Row],[_Res4Text]],FIND("[",Tasks[[#This Row],[_Res4Text]]&amp;"[")-1)),res_Initials,0),0)))</f>
        <v>0</v>
      </c>
      <c r="DL205" s="42" t="str">
        <f aca="false">IF(Tasks[[#This Row],[_Res1Text]]="","",IF(Tasks[[#This Row],[_Res1Row]]&gt;0,INDEX(res_Name,Tasks[[#This Row],[_Res1Row]]),TRIM(LEFT(Tasks[[#This Row],[_Res1Text]],FIND("[",Tasks[[#This Row],[_Res1Text]]&amp;"[")-1))))</f>
        <v/>
      </c>
      <c r="DM2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5" s="42" t="n">
        <f aca="false">IF(NOT(Tasks[[#This Row],[_IsLeaf]]=1),0,(Tasks[[#This Row],[_Resource1]]&lt;&gt;"")+(Tasks[[#This Row],[_Res2]]&lt;&gt;"")+(Tasks[[#This Row],[_Res3]]&lt;&gt;"")+(Tasks[[#This Row],[_Res4]]&lt;&gt;""))</f>
        <v>0</v>
      </c>
      <c r="DO205" s="42" t="str">
        <f aca="false">IF(Tasks[[#This Row],[_Res2Text]]="","",IF(Tasks[[#This Row],[_Res2Row]]&gt;0,INDEX(res_Name,Tasks[[#This Row],[_Res2Row]]),TRIM(LEFT(Tasks[[#This Row],[_Res2Text]],FIND("[",Tasks[[#This Row],[_Res2Text]]&amp;"[")-1))))</f>
        <v/>
      </c>
      <c r="DP2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5" s="42" t="n">
        <f aca="false">IF(OR(NOT(Tasks[[#This Row],[_IsLeaf]]=1),Tasks[[#This Row],[_Res2Row]]=0),0,N(Tasks[[#This Row],[_Days]])*HoursPerDay*IF(Tasks[[#This Row],[_Res2Units]]="",DefaultUnits,Tasks[[#This Row],[_Res2Units]]))</f>
        <v>0</v>
      </c>
      <c r="DR205" s="42" t="n">
        <f aca="false">IF(AND(AND(Tasks[[#This Row],[_IsLeaf]]=1,Tasks[[#This Row],[_LeafTotalWork]]&gt;0),Tasks[[#This Row],[_Res2Work]]&gt;0),Tasks[[#This Row],[_Res2Work]]/(Tasks[[#This Row],[_FinishWorkday]]-Tasks[[#This Row],[_StartWorkday]]+1),0)</f>
        <v>0</v>
      </c>
      <c r="DS205" s="42" t="n">
        <f aca="false">Tasks[[#This Row],[_Res2WorkPerWD]]*MAX(0,Tasks[[#This Row],[_StartWorkday]]-1)</f>
        <v>0</v>
      </c>
      <c r="DT205" s="42" t="n">
        <f aca="false">Tasks[[#This Row],[_Res2Work]]*Tasks[[#This Row],[_LeafProgress]]</f>
        <v>0</v>
      </c>
      <c r="DU205" s="42" t="str">
        <f aca="false">IF(Tasks[[#This Row],[_Res3Text]]="","",IF(Tasks[[#This Row],[_Res3Row]]&gt;0,INDEX(res_Name,Tasks[[#This Row],[_Res3Row]]),TRIM(LEFT(Tasks[[#This Row],[_Res3Text]],FIND("[",Tasks[[#This Row],[_Res3Text]]&amp;"[")-1))))</f>
        <v/>
      </c>
      <c r="DV2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5" s="42" t="n">
        <f aca="false">IF(OR(NOT(Tasks[[#This Row],[_IsLeaf]]=1),Tasks[[#This Row],[_Res3Row]]=0),0,N(Tasks[[#This Row],[_Days]])*HoursPerDay*IF(Tasks[[#This Row],[_Res3Units]]="",DefaultUnits,Tasks[[#This Row],[_Res3Units]]))</f>
        <v>0</v>
      </c>
      <c r="DX205" s="42" t="n">
        <f aca="false">IF(AND(AND(Tasks[[#This Row],[_IsLeaf]]=1,Tasks[[#This Row],[_LeafTotalWork]]&gt;0),Tasks[[#This Row],[_Res3Work]]&gt;0),Tasks[[#This Row],[_Res3Work]]/(Tasks[[#This Row],[_FinishWorkday]]-Tasks[[#This Row],[_StartWorkday]]+1),0)</f>
        <v>0</v>
      </c>
      <c r="DY205" s="42" t="n">
        <f aca="false">Tasks[[#This Row],[_Res3WorkPerWD]]*MAX(0,Tasks[[#This Row],[_StartWorkday]]-1)</f>
        <v>0</v>
      </c>
      <c r="DZ205" s="42" t="n">
        <f aca="false">Tasks[[#This Row],[_Res3Work]]*Tasks[[#This Row],[_LeafProgress]]</f>
        <v>0</v>
      </c>
      <c r="EA205" s="42" t="str">
        <f aca="false">IF(Tasks[[#This Row],[_Res4Text]]="","",IF(Tasks[[#This Row],[_Res4Row]]&gt;0,INDEX(res_Name,Tasks[[#This Row],[_Res4Row]]),TRIM(LEFT(Tasks[[#This Row],[_Res4Text]],FIND("[",Tasks[[#This Row],[_Res4Text]]&amp;"[")-1))))</f>
        <v/>
      </c>
      <c r="EB2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5" s="42" t="n">
        <f aca="false">IF(OR(NOT(Tasks[[#This Row],[_IsLeaf]]=1),Tasks[[#This Row],[_Res4Row]]=0),0,N(Tasks[[#This Row],[_Days]])*HoursPerDay*IF(Tasks[[#This Row],[_Res4Units]]="",DefaultUnits,Tasks[[#This Row],[_Res4Units]]))</f>
        <v>0</v>
      </c>
      <c r="ED205" s="42" t="n">
        <f aca="false">IF(AND(AND(Tasks[[#This Row],[_IsLeaf]]=1,Tasks[[#This Row],[_LeafTotalWork]]&gt;0),Tasks[[#This Row],[_Res4Work]]&gt;0),Tasks[[#This Row],[_Res4Work]]/(Tasks[[#This Row],[_FinishWorkday]]-Tasks[[#This Row],[_StartWorkday]]+1),0)</f>
        <v>0</v>
      </c>
      <c r="EE205" s="42" t="n">
        <f aca="false">Tasks[[#This Row],[_Res4WorkPerWD]]*MAX(0,Tasks[[#This Row],[_StartWorkday]]-1)</f>
        <v>0</v>
      </c>
      <c r="EF205" s="42" t="n">
        <f aca="false">Tasks[[#This Row],[_Res4Work]]*Tasks[[#This Row],[_LeafProgress]]</f>
        <v>0</v>
      </c>
      <c r="EG205" s="42" t="n">
        <f aca="false">IF(ISNUMBER(Tasks[[#This Row],[% Complete]]),Tasks[[#This Row],[% Complete]],IF(Tasks[[#This Row],[Stage]]="",0,IFERROR(INDEX(stg_Pct,MATCH(Tasks[[#This Row],[Stage]],stg_Name,0)),0)))</f>
        <v>0</v>
      </c>
      <c r="EH205" s="42" t="n">
        <f aca="false">IF(NOT(Tasks[[#This Row],[_IsLeaf]]=1),0,IF(N(Tasks[[#This Row],[Actual Finish]])&gt;0,1,MIN(1,Tasks[[#This Row],[_Pct]])))</f>
        <v>0</v>
      </c>
      <c r="EI205" s="42" t="n">
        <f aca="false">IF(OR(NOT(Tasks[[#This Row],[_IsLeaf]]=1),Tasks[[#This Row],[_Res1Row]]=0),0,N(Tasks[[#This Row],[_Days]])*HoursPerDay*IF(Tasks[[#This Row],[_Units1]]="",DefaultUnits,Tasks[[#This Row],[_Units1]]))</f>
        <v>0</v>
      </c>
      <c r="EJ205" s="42" t="n">
        <f aca="false">Tasks[[#This Row],[_LeafWork]]+Tasks[[#This Row],[_Res2Work]]+Tasks[[#This Row],[_Res3Work]]+Tasks[[#This Row],[_Res4Work]]</f>
        <v>0</v>
      </c>
      <c r="EK2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5" s="42" t="n">
        <f aca="false">IF(NOT(Tasks[[#This Row],[_IsLeaf]]=1),0,MAX(_xlfn.MAXIFS(Tasks[_Row],Tasks[_Pred1UID],Tasks[[#This Row],[UID]]),_xlfn.MAXIFS(Tasks[_Row],Tasks[_Pred2UID],Tasks[[#This Row],[UID]]),_xlfn.MAXIFS(Tasks[_Row],Tasks[_Pred3UID],Tasks[[#This Row],[UID]]),_xlfn.MAXIFS(Tasks[_Row],Tasks[_Pred4UID],Tasks[[#This Row],[UID]])))</f>
        <v>0</v>
      </c>
      <c r="ET2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5" s="89" t="str">
        <f aca="false">IF(NOT(Tasks[[#This Row],[_IsLeaf]]=1),"",IF(N(Tasks[[#This Row],[_Days]])&lt;=0,Tasks[[#This Row],[_LeafLateFinish]],WORKDAY.INTL(Tasks[[#This Row],[_LeafLateFinish]],-(Tasks[[#This Row],[_Days]]-1),WorkWeek,Holidays)))</f>
        <v/>
      </c>
      <c r="EW2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5" s="88" t="b">
        <f aca="false">AND(Tasks[[#This Row],[_IsLeaf]]=1,Tasks[[#This Row],[_LeafProgress]]&lt;1,N(Tasks[[#This Row],[_LeafTotalSlack]])&lt;=CriticalSlackDays)</f>
        <v>0</v>
      </c>
      <c r="EY205" s="42" t="n">
        <f aca="false">IF(AND(Tasks[[#This Row],[_IsLeaf]]=1,Tasks[[#This Row],[_ConstraintCode]]=1,Tasks[[#This Row],[Mode]]&lt;&gt;"Manual",N(Tasks[[#This Row],[Actual Start]])=0),MAX(0,N(Tasks[[#This Row],[Free Slack]])),0)</f>
        <v>0</v>
      </c>
      <c r="EZ205" s="89" t="str">
        <f aca="false">IF(NOT(Tasks[[#This Row],[_IsLeaf]]=1),"",IF(Tasks[[#This Row],[_AlapShift]]=0,Tasks[[#This Row],[_LeafCalcStart]],WORKDAY.INTL(Tasks[[#This Row],[_LeafCalcStart]],Tasks[[#This Row],[_AlapShift]],WorkWeek,Holidays)))</f>
        <v/>
      </c>
      <c r="FA205" s="89" t="str">
        <f aca="false">IF(NOT(Tasks[[#This Row],[_IsLeaf]]=1),"",IF(Tasks[[#This Row],[_AlapShift]]=0,Tasks[[#This Row],[_LeafCalcFinish]],WORKDAY.INTL(Tasks[[#This Row],[_LeafCalcFinish]],Tasks[[#This Row],[_AlapShift]],WorkWeek,Holidays)))</f>
        <v/>
      </c>
      <c r="FB205" s="89" t="str">
        <f aca="false">IF(NOT(Tasks[[#This Row],[_IsLeaf]]=1),"",IF(Tasks[[#This Row],[_AlapShift]]=0,Tasks[[#This Row],[_LeafFcstStart]],WORKDAY.INTL(Tasks[[#This Row],[_LeafFcstStart]],Tasks[[#This Row],[_AlapShift]],WorkWeek,Holidays)))</f>
        <v/>
      </c>
      <c r="FC205" s="89" t="str">
        <f aca="false">IF(NOT(Tasks[[#This Row],[_IsLeaf]]=1),"",IF(Tasks[[#This Row],[_AlapShift]]=0,Tasks[[#This Row],[_LeafFcstFinish]],WORKDAY.INTL(Tasks[[#This Row],[_LeafFcstFinish]],Tasks[[#This Row],[_AlapShift]],WorkWeek,Holidays)))</f>
        <v/>
      </c>
      <c r="FD205" s="89" t="str">
        <f aca="false">IF(Tasks[[#This Row],[Task Name]]="","",IF(Tasks[[#This Row],[_IsSummary]],MIN(INDEX(Tasks[_ShownCalcStart],Tasks[[#This Row],[_Row]]+1):INDEX(Tasks[_ShownCalcStart],Tasks[[#This Row],[_Row]]+Tasks[[#This Row],[_Descendants]])),Tasks[[#This Row],[_ShownCalcStart]]))</f>
        <v/>
      </c>
      <c r="FE205" s="89" t="str">
        <f aca="false">IF(Tasks[[#This Row],[Task Name]]="","",IF(Tasks[[#This Row],[_IsSummary]],MAX(INDEX(Tasks[_ShownCalcFinish],Tasks[[#This Row],[_Row]]+1):INDEX(Tasks[_ShownCalcFinish],Tasks[[#This Row],[_Row]]+Tasks[[#This Row],[_Descendants]])),Tasks[[#This Row],[_ShownCalcFinish]]))</f>
        <v/>
      </c>
      <c r="FF2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5" s="42" t="n">
        <f aca="false">IF(AND(Tasks[[#This Row],[_IsLeaf]]=1,Tasks[[#This Row],[_LeafTotalWork]]&gt;0),NETWORKDAYS.INTL(ProjectStart,Tasks[[#This Row],[_ShownFcstStart]],WorkWeek,Holidays),0)</f>
        <v>0</v>
      </c>
      <c r="FS205" s="42" t="n">
        <f aca="false">IF(AND(Tasks[[#This Row],[_IsLeaf]]=1,Tasks[[#This Row],[_LeafTotalWork]]&gt;0),MAX(Tasks[[#This Row],[_StartWorkday]],NETWORKDAYS.INTL(ProjectStart,Tasks[[#This Row],[_ShownFcstFinish]],WorkWeek,Holidays)),0)</f>
        <v>0</v>
      </c>
      <c r="FT205" s="42" t="n">
        <f aca="false">IF(AND(Tasks[[#This Row],[_IsLeaf]]=1,Tasks[[#This Row],[_LeafTotalWork]]&gt;0),Tasks[[#This Row],[_LeafWork]]/(Tasks[[#This Row],[_FinishWorkday]]-Tasks[[#This Row],[_StartWorkday]]+1),0)</f>
        <v>0</v>
      </c>
      <c r="FU205" s="42" t="n">
        <f aca="false">Tasks[[#This Row],[_WorkPerWorkday]]*(Tasks[[#This Row],[_StartWorkday]]-1)</f>
        <v>-0</v>
      </c>
      <c r="FV205" s="42" t="n">
        <f aca="false">IF(Tasks[[#This Row],[_IsLeaf]]=1,MAX(N(Tasks[[#This Row],[_Days]]),0.1),0)</f>
        <v>0</v>
      </c>
      <c r="FW205" s="42" t="n">
        <f aca="false">Tasks[[#This Row],[_WeightDur]]*Tasks[[#This Row],[_LeafProgress]]</f>
        <v>0</v>
      </c>
      <c r="FX205" s="42" t="n">
        <f aca="false">Tasks[[#This Row],[_WeightDur]]*Tasks[[#This Row],[_PlannedPct]]</f>
        <v>0</v>
      </c>
      <c r="FY2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5" s="42" t="str">
        <f aca="false">IF(AND(Tasks[[#This Row],[_IsLeaf]]=1,N(Tasks[[#This Row],[_Days]])=0,Tasks[[#This Row],[_LeafProgress]]&lt;1),Tasks[[#This Row],[_ShownFcstFinish]]+Tasks[[#This Row],[_Row]]/100000,"")</f>
        <v/>
      </c>
      <c r="GA2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5" s="42" t="str">
        <f aca="false">IF(Tasks[[#This Row],[Task Name]]="","",LEFT(Tasks[[#This Row],[WBS]],FIND(".",Tasks[[#This Row],[WBS]]&amp;".")-1))</f>
        <v/>
      </c>
      <c r="GC205" s="42" t="str">
        <f aca="false">IF(AND(Tasks[[#This Row],[Task Name]]&lt;&gt;"",Tasks[[#This Row],[_Level]]=1),Tasks[[#This Row],[_Row]],"")</f>
        <v/>
      </c>
      <c r="GD205" s="42" t="str">
        <f aca="false">IF(AND(Tasks[[#This Row],[_IsLeaf]]=1,N(Tasks[[#This Row],[_Days]])=0),Tasks[[#This Row],[Planned Finish]]+Tasks[[#This Row],[_Row]]/100000,"")</f>
        <v/>
      </c>
      <c r="GE205" s="42" t="str">
        <f aca="false">IF(AND(Tasks[[#This Row],[_IsLeaf]]=1,Tasks[[#This Row],[_LeafProgress]]&lt;1,OR(N(Tasks[[#This Row],[Finish Var]])&gt;0,Tasks[[#This Row],[Status]]="Late Start")),MAX(0,Tasks[[#This Row],[Finish Var]])+1-Tasks[[#This Row],[_Row]]/1000000,"")</f>
        <v/>
      </c>
      <c r="GF205" s="42" t="str">
        <f aca="false">IF(AND(Tasks[[#This Row],[_IsLeaf]]=1,N(Tasks[[#This Row],[Actual Start]])=0,Tasks[[#This Row],[_ShownFcstStart]]&gt;=StatusDate,Tasks[[#This Row],[_ShownFcstStart]]&lt;=LookaheadEnd),Tasks[[#This Row],[_ShownFcstStart]]+Tasks[[#This Row],[_Row]]/100000,"")</f>
        <v/>
      </c>
      <c r="GG205" s="42" t="str">
        <f aca="false">IF(AND(Tasks[[#This Row],[_IsLeaf]]=1,Tasks[[#This Row],[_LeafProgress]]&lt;1,Tasks[[#This Row],[_ShownFcstFinish]]&gt;=StatusDate,Tasks[[#This Row],[_ShownFcstFinish]]&lt;=LookaheadEnd),Tasks[[#This Row],[_ShownFcstFinish]]+Tasks[[#This Row],[_Row]]/100000,"")</f>
        <v/>
      </c>
      <c r="GH205" s="42" t="str">
        <f aca="false">IF(Tasks[[#This Row],[_LeafCritical]],Tasks[[#This Row],[_ShownFcstStart]]+Tasks[[#This Row],[_Row]]/100000,"")</f>
        <v/>
      </c>
      <c r="GI205" s="42" t="n">
        <f aca="false">Tasks[[#This Row],[_LeafWork]]*Tasks[[#This Row],[_LeafProgress]]</f>
        <v>0</v>
      </c>
      <c r="GJ205" s="89" t="str">
        <f aca="false">IF(AND(Tasks[[#This Row],[_IsLeaf]]=1,Tasks[[#This Row],[_LeafProgress]]&gt;=1),IF(N(Tasks[[#This Row],[Actual Finish]])&gt;0,Tasks[[#This Row],[Actual Finish]],Tasks[[#This Row],[_ShownFcstFinish]]),"")</f>
        <v/>
      </c>
      <c r="GK205" s="42" t="n">
        <f aca="false">IF(Tasks[[#This Row],[_IsLeaf]]=1,N(Tasks[[#This Row],[Story Points]]),0)</f>
        <v>0</v>
      </c>
      <c r="GL205" s="42" t="str">
        <f aca="false">""</f>
        <v/>
      </c>
      <c r="GM205" s="88" t="b">
        <f aca="false">IF(Tasks[[#This Row],[Task Name]]="",FALSE(),AND(Tasks[[#This Row],[_IsLeaf]]=1,N(Tasks[[#This Row],[_Days]])=0))</f>
        <v>0</v>
      </c>
      <c r="GN205" s="89" t="n">
        <f aca="false">IF(Tasks[[#This Row],[Task Name]]="",0,IF(AND(Tasks[[#This Row],[_IsLeaf]]=1,NOT(Tasks[[#This Row],[_IsMilestone]]),N(Tasks[[#This Row],[Progress]])&gt;0),Tasks[[#This Row],[Start]],0))</f>
        <v>0</v>
      </c>
      <c r="GO205" s="89" t="n">
        <f aca="false">IF(Tasks[[#This Row],[_DoneFrom]]=0,0,IF(Tasks[[#This Row],[Progress]]&gt;=1,Tasks[[#This Row],[Finish]],MAX(Tasks[[#This Row],[_DoneFrom]],Tasks[[#This Row],[Start]]+ROUND((Tasks[[#This Row],[Finish]]-Tasks[[#This Row],[Start]]+1)*Tasks[[#This Row],[Progress]],0)-1)))</f>
        <v>0</v>
      </c>
      <c r="GP205" s="89" t="n">
        <f aca="false">IF(Tasks[[#This Row],[Task Name]]="",0,IF(OR(NOT(Tasks[[#This Row],[_IsLeaf]]=1),Tasks[[#This Row],[_IsMilestone]],N(Tasks[[#This Row],[Progress]])&gt;=1),0,IF(Tasks[[#This Row],[_DoneTo]]&gt;0,Tasks[[#This Row],[_DoneTo]]+1,Tasks[[#This Row],[Start]])))</f>
        <v>0</v>
      </c>
      <c r="GQ205" s="89" t="n">
        <f aca="false">IF(Tasks[[#This Row],[_RemFrom]]=0,0,Tasks[[#This Row],[Finish]])</f>
        <v>0</v>
      </c>
      <c r="GR205" s="88" t="b">
        <f aca="false">IF(Tasks[[#This Row],[Task Name]]="",FALSE(),OR(NOT(BaselineSet),N(Tasks[[#This Row],[Baseline Start]])&gt;0))</f>
        <v>0</v>
      </c>
      <c r="GS2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5" s="90" t="str">
        <f aca="false">IF(Tasks[[#This Row],[_IsLeaf]]=1,Tasks[[#This Row],[_Row]],"")</f>
        <v/>
      </c>
      <c r="GW205" s="90" t="str">
        <f aca="false">IFERROR(INDEX(Tasks[UID],SMALL(Tasks[_PickKey],Tasks[[#This Row],[_Row]]))&amp;" "&amp;INDEX(Tasks[Task Name],SMALL(Tasks[_PickKey],Tasks[[#This Row],[_Row]])),"")</f>
        <v/>
      </c>
      <c r="GX205" s="42" t="str">
        <f aca="false">IF(Tasks[[#This Row],[Task Name]]="","",IF(Tasks[[#This Row],[_IsSummary]],NETWORKDAYS.INTL(Tasks[[#This Row],[Start]],Tasks[[#This Row],[Finish]],WorkWeek,Holidays),N(Tasks[[#This Row],[_Days]])))</f>
        <v/>
      </c>
    </row>
  </sheetData>
  <conditionalFormatting sqref="A6:BT205">
    <cfRule type="expression" priority="2" aboveAverage="0" equalAverage="0" bottom="0" percent="0" rank="0" text="" dxfId="35">
      <formula>$BY6=1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GV6:GV205 GW6:GW205">
    <cfRule type="expression" priority="3" aboveAverage="0" equalAverage="0" bottom="0" percent="0" rank="0" text="" dxfId="36">
      <formula>$BY6=1</formula>
    </cfRule>
  </conditionalFormatting>
  <conditionalFormatting sqref="AO6:AO205">
    <cfRule type="expression" priority="4" aboveAverage="0" equalAverage="0" bottom="0" percent="0" rank="0" text="" dxfId="22">
      <formula>$AO6="Complete"</formula>
    </cfRule>
    <cfRule type="expression" priority="5" aboveAverage="0" equalAverage="0" bottom="0" percent="0" rank="0" text="" dxfId="37">
      <formula>$AO6="In Progress"</formula>
    </cfRule>
    <cfRule type="expression" priority="6" aboveAverage="0" equalAverage="0" bottom="0" percent="0" rank="0" text="" dxfId="23">
      <formula>$AO6="Behind"</formula>
    </cfRule>
    <cfRule type="expression" priority="7" aboveAverage="0" equalAverage="0" bottom="0" percent="0" rank="0" text="" dxfId="38">
      <formula>$AO6="Late Start"</formula>
    </cfRule>
    <cfRule type="expression" priority="8" aboveAverage="0" equalAverage="0" bottom="0" percent="0" rank="0" text="" dxfId="39">
      <formula>$AO6="Not Started"</formula>
    </cfRule>
  </conditionalFormatting>
  <conditionalFormatting sqref="AS6:AS205">
    <cfRule type="expression" priority="9" aboveAverage="0" equalAverage="0" bottom="0" percent="0" rank="0" text="" dxfId="23">
      <formula>AND(ISNUMBER($AS6),$AS6&gt;0)</formula>
    </cfRule>
    <cfRule type="expression" priority="10" aboveAverage="0" equalAverage="0" bottom="0" percent="0" rank="0" text="" dxfId="22">
      <formula>AND(ISNUMBER($AS6),$AS6&lt;0)</formula>
    </cfRule>
  </conditionalFormatting>
  <conditionalFormatting sqref="AN6:AN205">
    <cfRule type="expression" priority="11" aboveAverage="0" equalAverage="0" bottom="0" percent="0" rank="0" text="" dxfId="23">
      <formula>AND(ISNUMBER($AN6),$AN6&gt;0)</formula>
    </cfRule>
    <cfRule type="expression" priority="12" aboveAverage="0" equalAverage="0" bottom="0" percent="0" rank="0" text="" dxfId="22">
      <formula>AND(ISNUMBER($AN6),$AN6&lt;0)</formula>
    </cfRule>
  </conditionalFormatting>
  <conditionalFormatting sqref="BK6:BK205">
    <cfRule type="expression" priority="13" aboveAverage="0" equalAverage="0" bottom="0" percent="0" rank="0" text="" dxfId="23">
      <formula>AND(ISNUMBER($BK6),$BK6&gt;0)</formula>
    </cfRule>
    <cfRule type="expression" priority="14" aboveAverage="0" equalAverage="0" bottom="0" percent="0" rank="0" text="" dxfId="22">
      <formula>AND(ISNUMBER($BK6),$BK6&lt;0)</formula>
    </cfRule>
  </conditionalFormatting>
  <conditionalFormatting sqref="BL6:BL205">
    <cfRule type="expression" priority="15" aboveAverage="0" equalAverage="0" bottom="0" percent="0" rank="0" text="" dxfId="23">
      <formula>AND(ISNUMBER($BL6),$BL6&gt;0)</formula>
    </cfRule>
    <cfRule type="expression" priority="16" aboveAverage="0" equalAverage="0" bottom="0" percent="0" rank="0" text="" dxfId="22">
      <formula>AND(ISNUMBER($BL6),$BL6&lt;0)</formula>
    </cfRule>
  </conditionalFormatting>
  <conditionalFormatting sqref="D6:D205">
    <cfRule type="expression" priority="17" aboveAverage="0" equalAverage="0" bottom="0" percent="0" rank="0" text="" dxfId="40">
      <formula>AND($CA6=1,N($E6)=0)</formula>
    </cfRule>
  </conditionalFormatting>
  <conditionalFormatting sqref="BC6:BC205">
    <cfRule type="expression" priority="18" aboveAverage="0" equalAverage="0" bottom="0" percent="0" rank="0" text="" dxfId="41">
      <formula>$BC6="?"</formula>
    </cfRule>
  </conditionalFormatting>
  <conditionalFormatting sqref="B6:B205">
    <cfRule type="expression" priority="19" aboveAverage="0" equalAverage="0" bottom="0" percent="0" rank="0" text="" dxfId="20">
      <formula>OR(AND($D6&lt;&gt;"",$B6=""),AND($B6&lt;&gt;"",COUNTIF(tsk_UID,$B6)&gt;1))</formula>
    </cfRule>
  </conditionalFormatting>
  <conditionalFormatting sqref="AY6:AY205">
    <cfRule type="expression" priority="20" aboveAverage="0" equalAverage="0" bottom="0" percent="0" rank="0" text="" dxfId="42">
      <formula>$AY6&lt;&gt;""</formula>
    </cfRule>
  </conditionalFormatting>
  <conditionalFormatting sqref="AX6:AX205">
    <cfRule type="expression" priority="21" aboveAverage="0" equalAverage="0" bottom="0" percent="0" rank="0" text="" dxfId="23">
      <formula>LEFT($AX6,4)="Late"</formula>
    </cfRule>
    <cfRule type="expression" priority="22" aboveAverage="0" equalAverage="0" bottom="0" percent="0" rank="0" text="" dxfId="22">
      <formula>$AX6="OK"</formula>
    </cfRule>
  </conditionalFormatting>
  <conditionalFormatting sqref="BH6:BH205">
    <cfRule type="expression" priority="23" aboveAverage="0" equalAverage="0" bottom="0" percent="0" rank="0" text="" dxfId="20">
      <formula>$BH6="Yes"</formula>
    </cfRule>
  </conditionalFormatting>
  <conditionalFormatting sqref="AP6:AP205">
    <cfRule type="expression" priority="24" aboveAverage="0" equalAverage="0" bottom="0" percent="0" rank="0" text="" dxfId="24">
      <formula>$AP6="Yes"</formula>
    </cfRule>
  </conditionalFormatting>
  <conditionalFormatting sqref="AV6:AV205">
    <cfRule type="expression" priority="25" aboveAverage="0" equalAverage="0" bottom="0" percent="0" rank="0" text="" dxfId="23">
      <formula>AND(ISNUMBER($AV6),$AV6&lt;0)</formula>
    </cfRule>
  </conditionalFormatting>
  <conditionalFormatting sqref="AW6:AW205">
    <cfRule type="expression" priority="26" aboveAverage="0" equalAverage="0" bottom="0" percent="0" rank="0" text="" dxfId="23">
      <formula>AND(ISNUMBER($AW6),$AW6&lt;0)</formula>
    </cfRule>
  </conditionalFormatting>
  <conditionalFormatting sqref="GZ6:MS205">
    <cfRule type="expression" priority="27" aboveAverage="0" equalAverage="0" bottom="0" percent="0" rank="0" text="" dxfId="30">
      <formula>AND(N($AJ6)&gt;0,N($AJ6)&gt;=GZ$5,N($AJ6)&lt;IF(GanttPeriod&lt;28,GZ$5+GanttPeriod,EDATE(GZ$5,IF(GanttPeriod&gt;=90,3,1))))</formula>
    </cfRule>
    <cfRule type="expression" priority="28" aboveAverage="0" equalAverage="0" bottom="0" percent="0" rank="0" text="" dxfId="43">
      <formula>AND($BY6,AND($AE6&gt;0,GZ$5&lt;=$AF6,IF(GanttPeriod&lt;28,GZ$5+GanttPeriod,EDATE(GZ$5,IF(GanttPeriod&gt;=90,3,1)))-1&gt;=$AE6))</formula>
    </cfRule>
    <cfRule type="expression" priority="29" aboveAverage="0" equalAverage="0" bottom="0" percent="0" rank="0" text="" dxfId="31">
      <formula>AND($GM6,AND($AE6&gt;0,$AE6&gt;=GZ$5,$AE6&lt;IF(GanttPeriod&lt;28,GZ$5+GanttPeriod,EDATE(GZ$5,IF(GanttPeriod&gt;=90,3,1)))))</formula>
    </cfRule>
    <cfRule type="expression" priority="30" aboveAverage="0" equalAverage="0" bottom="0" percent="0" rank="0" text="" dxfId="25">
      <formula>AND($GN6&gt;0,GZ$5&lt;=$GO6,IF(GanttPeriod&lt;28,GZ$5+GanttPeriod,EDATE(GZ$5,IF(GanttPeriod&gt;=90,3,1)))-1&gt;=$GN6)</formula>
    </cfRule>
    <cfRule type="expression" priority="31" aboveAverage="0" equalAverage="0" bottom="0" percent="0" rank="0" text="" dxfId="44">
      <formula>AND($GR6,ISNUMBER($AR6),GZ$5&gt;$AR6,AND($GP6&gt;0,GZ$5&lt;=$GQ6,IF(GanttPeriod&lt;28,GZ$5+GanttPeriod,EDATE(GZ$5,IF(GanttPeriod&gt;=90,3,1)))-1&gt;=$GP6))</formula>
    </cfRule>
    <cfRule type="expression" priority="32" aboveAverage="0" equalAverage="0" bottom="0" percent="0" rank="0" text="" dxfId="26">
      <formula>AND($AP6="Yes",AND($GP6&gt;0,GZ$5&lt;=$GQ6,IF(GanttPeriod&lt;28,GZ$5+GanttPeriod,EDATE(GZ$5,IF(GanttPeriod&gt;=90,3,1)))-1&gt;=$GP6))</formula>
    </cfRule>
    <cfRule type="expression" priority="33" aboveAverage="0" equalAverage="0" bottom="0" percent="0" rank="0" text="" dxfId="45">
      <formula>AND($GP6&gt;0,GZ$5&lt;=$GQ6,IF(GanttPeriod&lt;28,GZ$5+GanttPeriod,EDATE(GZ$5,IF(GanttPeriod&gt;=90,3,1)))-1&gt;=$GP6)</formula>
    </cfRule>
    <cfRule type="expression" priority="34" aboveAverage="0" equalAverage="0" bottom="0" percent="0" rank="0" text="" dxfId="46">
      <formula>AND($GR6,ISNUMBER($AQ6),AND($AQ6&gt;0,GZ$5&lt;=$AR6,IF(GanttPeriod&lt;28,GZ$5+GanttPeriod,EDATE(GZ$5,IF(GanttPeriod&gt;=90,3,1)))-1&gt;=$AQ6))</formula>
    </cfRule>
    <cfRule type="expression" priority="35" aboveAverage="0" equalAverage="0" bottom="0" percent="0" rank="0" text="" dxfId="47">
      <formula>AND(AND($GR6,ISNUMBER($AQ6),AND($AQ6&gt;0,GZ$5&lt;=$AR6,IF(GanttPeriod&lt;28,GZ$5+GanttPeriod,EDATE(GZ$5,IF(GanttPeriod&gt;=90,3,1)))-1&gt;=$AQ6)),AND($AQ6&gt;0,$AQ6&gt;=GZ$5,$AQ6&lt;IF(GanttPeriod&lt;28,GZ$5+GanttPeriod,EDATE(GZ$5,IF(GanttPeriod&gt;=90,3,1)))),AND($AR6&gt;0,$AR6&gt;=GZ$5,$AR6&lt;IF(GanttPeriod&lt;28,GZ$5+GanttPeriod,EDATE(GZ$5,IF(GanttPeriod&gt;=90,3,1)))))</formula>
    </cfRule>
    <cfRule type="expression" priority="36" aboveAverage="0" equalAverage="0" bottom="0" percent="0" rank="0" text="" dxfId="48">
      <formula>AND(AND($GR6,ISNUMBER($AQ6),AND($AQ6&gt;0,GZ$5&lt;=$AR6,IF(GanttPeriod&lt;28,GZ$5+GanttPeriod,EDATE(GZ$5,IF(GanttPeriod&gt;=90,3,1)))-1&gt;=$AQ6)),AND($AQ6&gt;0,$AQ6&gt;=GZ$5,$AQ6&lt;IF(GanttPeriod&lt;28,GZ$5+GanttPeriod,EDATE(GZ$5,IF(GanttPeriod&gt;=90,3,1)))))</formula>
    </cfRule>
    <cfRule type="expression" priority="37" aboveAverage="0" equalAverage="0" bottom="0" percent="0" rank="0" text="" dxfId="49">
      <formula>AND(AND($GR6,ISNUMBER($AQ6),AND($AQ6&gt;0,GZ$5&lt;=$AR6,IF(GanttPeriod&lt;28,GZ$5+GanttPeriod,EDATE(GZ$5,IF(GanttPeriod&gt;=90,3,1)))-1&gt;=$AQ6)),AND($AR6&gt;0,$AR6&gt;=GZ$5,$AR6&lt;IF(GanttPeriod&lt;28,GZ$5+GanttPeriod,EDATE(GZ$5,IF(GanttPeriod&gt;=90,3,1)))))</formula>
    </cfRule>
    <cfRule type="expression" priority="38" aboveAverage="0" equalAverage="0" bottom="0" percent="0" rank="0" text="" dxfId="50">
      <formula>AND($GR6,ISNUMBER($AQ6),AND($AQ6&gt;0,GZ$5&lt;=$AR6,IF(GanttPeriod&lt;28,GZ$5+GanttPeriod,EDATE(GZ$5,IF(GanttPeriod&gt;=90,3,1)))-1&gt;=$AQ6))</formula>
    </cfRule>
    <cfRule type="expression" priority="39" aboveAverage="0" equalAverage="0" bottom="0" percent="0" rank="0" text="" dxfId="29">
      <formula>AND(StatusDate&gt;0,StatusDate&gt;=GZ$5,StatusDate&lt;IF(GanttPeriod&lt;28,GZ$5+GanttPeriod,EDATE(GZ$5,IF(GanttPeriod&gt;=90,3,1))))</formula>
    </cfRule>
    <cfRule type="expression" priority="40" aboveAverage="0" equalAverage="0" bottom="0" percent="0" rank="0" text="" dxfId="51">
      <formula>AND(GanttPeriod=1,NETWORKDAYS.INTL(GZ$5,GZ$5,WorkWeek,Holidays)=0)</formula>
    </cfRule>
  </conditionalFormatting>
  <conditionalFormatting sqref="GZ5:MS5">
    <cfRule type="expression" priority="41" aboveAverage="0" equalAverage="0" bottom="0" percent="0" rank="0" text="" dxfId="30">
      <formula>AND(StatusDate&gt;0,StatusDate&gt;=GZ$5,StatusDate&lt;IF(GanttPeriod&lt;28,GZ$5+GanttPeriod,EDATE(GZ$5,IF(GanttPeriod&gt;=90,3,1))))</formula>
    </cfRule>
    <cfRule type="expression" priority="42" aboveAverage="0" equalAverage="0" bottom="0" percent="0" rank="0" text="" dxfId="52">
      <formula>GanttPeriod&gt;=28</formula>
    </cfRule>
  </conditionalFormatting>
  <dataValidations count="37">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INDEX(tsk_PickList,1):INDEX(tsk_PickList,MAX(1,COUNTIF($CA$5:$CA5,1)))</formula1>
      <formula2>0</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between" showDropDown="false" showErrorMessage="false" showInputMessage="false" sqref="AK6:AK205" type="list">
      <formula1>L_Mode</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s>
  <hyperlinks>
    <hyperlink ref="AA3" location="Tasks!G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3" min="4" style="0" width="3.61"/>
    <col collapsed="false" customWidth="true" hidden="true" outlineLevel="0" max="14" min="14" style="0" width="3.61"/>
    <col collapsed="false" customWidth="true" hidden="false" outlineLevel="0" max="34" min="15" style="0" width="3.61"/>
    <col collapsed="false" customWidth="true" hidden="false" outlineLevel="0" max="35" min="35" style="0" width="26"/>
    <col collapsed="false" customWidth="true" hidden="false" outlineLevel="0" max="36" min="36" style="0" width="18"/>
    <col collapsed="false" customWidth="true" hidden="true" outlineLevel="0" max="37" min="37" style="0" width="6"/>
    <col collapsed="false" customWidth="true" hidden="true" outlineLevel="0" max="38" min="38" style="0" width="8"/>
    <col collapsed="false" customWidth="true" hidden="false" outlineLevel="0" max="50" min="39" style="0" width="11"/>
  </cols>
  <sheetData>
    <row r="1" customFormat="false" ht="19.7" hidden="false" customHeight="false" outlineLevel="0" collapsed="false">
      <c r="A1" s="14" t="s">
        <v>631</v>
      </c>
    </row>
    <row r="2" customFormat="false" ht="15" hidden="false" customHeight="false" outlineLevel="0" collapsed="false">
      <c r="A2" s="2" t="s">
        <v>632</v>
      </c>
    </row>
    <row r="5" customFormat="false" ht="135.8" hidden="false" customHeight="false" outlineLevel="0" collapsed="false">
      <c r="B5" s="18" t="s">
        <v>633</v>
      </c>
      <c r="C5" s="18" t="s">
        <v>634</v>
      </c>
      <c r="D5" s="18" t="s">
        <v>635</v>
      </c>
      <c r="E5" s="18" t="s">
        <v>636</v>
      </c>
      <c r="F5" s="18" t="s">
        <v>637</v>
      </c>
      <c r="G5" s="18" t="s">
        <v>169</v>
      </c>
      <c r="H5" s="18" t="s">
        <v>638</v>
      </c>
      <c r="I5" s="18" t="s">
        <v>639</v>
      </c>
      <c r="J5" s="18" t="s">
        <v>640</v>
      </c>
      <c r="K5" s="17" t="s">
        <v>138</v>
      </c>
      <c r="L5" s="17" t="s">
        <v>238</v>
      </c>
      <c r="M5" s="18" t="s">
        <v>173</v>
      </c>
      <c r="N5" s="41" t="s">
        <v>641</v>
      </c>
      <c r="O5" s="18" t="s">
        <v>642</v>
      </c>
      <c r="P5" s="18" t="s">
        <v>643</v>
      </c>
      <c r="Q5" s="18" t="s">
        <v>644</v>
      </c>
      <c r="R5" s="18" t="s">
        <v>645</v>
      </c>
      <c r="S5" s="18" t="s">
        <v>646</v>
      </c>
      <c r="T5" s="18" t="s">
        <v>647</v>
      </c>
      <c r="U5" s="18" t="s">
        <v>648</v>
      </c>
      <c r="V5" s="18" t="s">
        <v>649</v>
      </c>
      <c r="W5" s="18" t="s">
        <v>650</v>
      </c>
      <c r="X5" s="18" t="s">
        <v>651</v>
      </c>
      <c r="Y5" s="18" t="s">
        <v>652</v>
      </c>
      <c r="Z5" s="18" t="s">
        <v>653</v>
      </c>
      <c r="AA5" s="18" t="s">
        <v>654</v>
      </c>
      <c r="AB5" s="18" t="s">
        <v>655</v>
      </c>
      <c r="AC5" s="18" t="s">
        <v>656</v>
      </c>
      <c r="AD5" s="18" t="s">
        <v>657</v>
      </c>
      <c r="AE5" s="18" t="s">
        <v>658</v>
      </c>
      <c r="AF5" s="18" t="s">
        <v>659</v>
      </c>
      <c r="AG5" s="18" t="s">
        <v>660</v>
      </c>
      <c r="AH5" s="18" t="s">
        <v>661</v>
      </c>
      <c r="AI5" s="18" t="s">
        <v>662</v>
      </c>
      <c r="AJ5" s="18" t="s">
        <v>663</v>
      </c>
      <c r="AK5" s="18" t="s">
        <v>664</v>
      </c>
      <c r="AL5" s="18" t="s">
        <v>665</v>
      </c>
      <c r="AM5" s="18" t="s">
        <v>666</v>
      </c>
      <c r="AN5" s="18" t="s">
        <v>667</v>
      </c>
      <c r="AO5" s="18" t="s">
        <v>668</v>
      </c>
      <c r="AP5" s="18" t="s">
        <v>669</v>
      </c>
      <c r="AQ5" s="18" t="s">
        <v>670</v>
      </c>
      <c r="AR5" s="18" t="s">
        <v>671</v>
      </c>
      <c r="AS5" s="18" t="s">
        <v>672</v>
      </c>
      <c r="AT5" s="18" t="s">
        <v>673</v>
      </c>
      <c r="AU5" s="18" t="s">
        <v>674</v>
      </c>
      <c r="AV5" s="18" t="s">
        <v>675</v>
      </c>
      <c r="AW5" s="18" t="s">
        <v>676</v>
      </c>
      <c r="AX5" s="18" t="s">
        <v>677</v>
      </c>
    </row>
    <row r="6" customFormat="false" ht="15" hidden="false" customHeight="false" outlineLevel="0" collapsed="false">
      <c r="B6" s="23" t="s">
        <v>6</v>
      </c>
      <c r="C6" s="23" t="s">
        <v>678</v>
      </c>
      <c r="D6" s="23" t="s">
        <v>679</v>
      </c>
      <c r="E6" s="23" t="s">
        <v>238</v>
      </c>
      <c r="F6" s="64" t="n">
        <v>0.5</v>
      </c>
      <c r="G6" s="7"/>
      <c r="H6" s="7"/>
      <c r="I6" s="64" t="n">
        <v>0</v>
      </c>
      <c r="J6" s="23" t="s">
        <v>680</v>
      </c>
      <c r="K6"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92" t="n">
        <f aca="false">IF(ResourceTable[[#This Row],[Focus %]]="",FocusFactor,N(ResourceTable[[#This Row],[Focus %]]))</f>
        <v>0</v>
      </c>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row>
    <row r="7" customFormat="false" ht="15" hidden="false" customHeight="false" outlineLevel="0" collapsed="false">
      <c r="B7" s="23" t="s">
        <v>613</v>
      </c>
      <c r="C7" s="23" t="s">
        <v>681</v>
      </c>
      <c r="D7" s="23" t="s">
        <v>682</v>
      </c>
      <c r="E7" s="23" t="s">
        <v>238</v>
      </c>
      <c r="F7" s="64" t="n">
        <v>1</v>
      </c>
      <c r="G7" s="7"/>
      <c r="H7" s="7"/>
      <c r="I7" s="64"/>
      <c r="J7" s="23" t="s">
        <v>683</v>
      </c>
      <c r="K7"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92" t="n">
        <f aca="false">IF(ResourceTable[[#This Row],[Focus %]]="",FocusFactor,N(ResourceTable[[#This Row],[Focus %]]))</f>
        <v>0.8</v>
      </c>
      <c r="O7" s="23"/>
      <c r="P7" s="23"/>
      <c r="Q7" s="23"/>
      <c r="R7" s="23"/>
      <c r="S7" s="23"/>
      <c r="T7" s="23"/>
      <c r="U7" s="23"/>
      <c r="V7" s="23"/>
      <c r="W7" s="23"/>
      <c r="X7" s="23"/>
      <c r="Y7" s="23"/>
      <c r="Z7" s="23" t="s">
        <v>684</v>
      </c>
      <c r="AA7" s="23"/>
      <c r="AB7" s="23"/>
      <c r="AC7" s="23"/>
      <c r="AD7" s="23"/>
      <c r="AE7" s="23"/>
      <c r="AF7" s="23"/>
      <c r="AG7" s="23"/>
      <c r="AH7" s="23"/>
      <c r="AI7" s="23"/>
      <c r="AJ7" s="23"/>
      <c r="AK7" s="23"/>
      <c r="AL7" s="23"/>
      <c r="AM7" s="23"/>
      <c r="AN7" s="23"/>
      <c r="AO7" s="23"/>
      <c r="AP7" s="23"/>
      <c r="AQ7" s="23"/>
      <c r="AR7" s="23"/>
      <c r="AS7" s="23"/>
      <c r="AT7" s="23"/>
      <c r="AU7" s="23"/>
      <c r="AV7" s="23"/>
      <c r="AW7" s="23"/>
      <c r="AX7" s="23"/>
    </row>
    <row r="8" customFormat="false" ht="15" hidden="false" customHeight="false" outlineLevel="0" collapsed="false">
      <c r="B8" s="23" t="s">
        <v>685</v>
      </c>
      <c r="C8" s="23" t="s">
        <v>686</v>
      </c>
      <c r="D8" s="23" t="s">
        <v>687</v>
      </c>
      <c r="E8" s="23" t="s">
        <v>238</v>
      </c>
      <c r="F8" s="64" t="n">
        <v>0.5</v>
      </c>
      <c r="G8" s="7"/>
      <c r="H8" s="7"/>
      <c r="I8" s="64" t="n">
        <v>0</v>
      </c>
      <c r="J8" s="23" t="s">
        <v>688</v>
      </c>
      <c r="K8"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92" t="n">
        <f aca="false">IF(ResourceTable[[#This Row],[Focus %]]="",FocusFactor,N(ResourceTable[[#This Row],[Focus %]]))</f>
        <v>0</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row>
    <row r="9" customFormat="false" ht="15" hidden="false" customHeight="false" outlineLevel="0" collapsed="false">
      <c r="B9" s="23" t="s">
        <v>619</v>
      </c>
      <c r="C9" s="23" t="s">
        <v>689</v>
      </c>
      <c r="D9" s="23" t="s">
        <v>690</v>
      </c>
      <c r="E9" s="23" t="s">
        <v>238</v>
      </c>
      <c r="F9" s="64" t="n">
        <v>1</v>
      </c>
      <c r="G9" s="7"/>
      <c r="H9" s="7"/>
      <c r="I9" s="64"/>
      <c r="J9" s="23" t="s">
        <v>691</v>
      </c>
      <c r="K9"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92" t="n">
        <f aca="false">IF(ResourceTable[[#This Row],[Focus %]]="",FocusFactor,N(ResourceTable[[#This Row],[Focus %]]))</f>
        <v>0.8</v>
      </c>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row>
    <row r="10" customFormat="false" ht="15" hidden="false" customHeight="false" outlineLevel="0" collapsed="false">
      <c r="B10" s="23" t="s">
        <v>692</v>
      </c>
      <c r="C10" s="23" t="s">
        <v>693</v>
      </c>
      <c r="D10" s="23" t="s">
        <v>694</v>
      </c>
      <c r="E10" s="23" t="s">
        <v>238</v>
      </c>
      <c r="F10" s="64" t="n">
        <v>1</v>
      </c>
      <c r="G10" s="7"/>
      <c r="H10" s="7"/>
      <c r="I10" s="64"/>
      <c r="J10" s="23" t="s">
        <v>695</v>
      </c>
      <c r="K10"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92" t="n">
        <f aca="false">IF(ResourceTable[[#This Row],[Focus %]]="",FocusFactor,N(ResourceTable[[#This Row],[Focus %]]))</f>
        <v>0.8</v>
      </c>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row>
    <row r="11" customFormat="false" ht="15" hidden="false" customHeight="false" outlineLevel="0" collapsed="false">
      <c r="B11" s="23" t="s">
        <v>625</v>
      </c>
      <c r="C11" s="23" t="s">
        <v>696</v>
      </c>
      <c r="D11" s="23" t="s">
        <v>697</v>
      </c>
      <c r="E11" s="23" t="s">
        <v>238</v>
      </c>
      <c r="F11" s="64" t="n">
        <v>1</v>
      </c>
      <c r="G11" s="7"/>
      <c r="H11" s="7"/>
      <c r="I11" s="64"/>
      <c r="J11" s="23" t="s">
        <v>698</v>
      </c>
      <c r="K11"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92" t="n">
        <f aca="false">IF(ResourceTable[[#This Row],[Focus %]]="",FocusFactor,N(ResourceTable[[#This Row],[Focus %]]))</f>
        <v>0.8</v>
      </c>
      <c r="O11" s="23"/>
      <c r="P11" s="23"/>
      <c r="Q11" s="23"/>
      <c r="R11" s="23"/>
      <c r="S11" s="23"/>
      <c r="T11" s="23"/>
      <c r="U11" s="23"/>
      <c r="V11" s="23"/>
      <c r="W11" s="23"/>
      <c r="X11" s="23"/>
      <c r="Y11" s="23" t="s">
        <v>699</v>
      </c>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row>
    <row r="12" customFormat="false" ht="15" hidden="false" customHeight="false" outlineLevel="0" collapsed="false">
      <c r="B12" s="23" t="s">
        <v>623</v>
      </c>
      <c r="C12" s="23" t="s">
        <v>700</v>
      </c>
      <c r="D12" s="23" t="s">
        <v>701</v>
      </c>
      <c r="E12" s="23" t="s">
        <v>238</v>
      </c>
      <c r="F12" s="64" t="n">
        <v>1</v>
      </c>
      <c r="G12" s="7"/>
      <c r="H12" s="7"/>
      <c r="I12" s="64"/>
      <c r="J12" s="23" t="s">
        <v>702</v>
      </c>
      <c r="K12"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92" t="n">
        <f aca="false">IF(ResourceTable[[#This Row],[Focus %]]="",FocusFactor,N(ResourceTable[[#This Row],[Focus %]]))</f>
        <v>0.8</v>
      </c>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row>
    <row r="13" customFormat="false" ht="15" hidden="false" customHeight="false" outlineLevel="0" collapsed="false">
      <c r="B13" s="23"/>
      <c r="C13" s="23"/>
      <c r="D13" s="23"/>
      <c r="E13" s="23"/>
      <c r="F13" s="64"/>
      <c r="G13" s="7"/>
      <c r="H13" s="7"/>
      <c r="I13" s="64"/>
      <c r="J13" s="23"/>
      <c r="K1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92" t="n">
        <f aca="false">IF(ResourceTable[[#This Row],[Focus %]]="",FocusFactor,N(ResourceTable[[#This Row],[Focus %]]))</f>
        <v>0.8</v>
      </c>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row>
    <row r="14" customFormat="false" ht="15" hidden="false" customHeight="false" outlineLevel="0" collapsed="false">
      <c r="B14" s="23"/>
      <c r="C14" s="23"/>
      <c r="D14" s="23"/>
      <c r="E14" s="23"/>
      <c r="F14" s="64"/>
      <c r="G14" s="7"/>
      <c r="H14" s="7"/>
      <c r="I14" s="64"/>
      <c r="J14" s="23"/>
      <c r="K1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92" t="n">
        <f aca="false">IF(ResourceTable[[#This Row],[Focus %]]="",FocusFactor,N(ResourceTable[[#This Row],[Focus %]]))</f>
        <v>0.8</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row>
    <row r="15" customFormat="false" ht="15" hidden="false" customHeight="false" outlineLevel="0" collapsed="false">
      <c r="B15" s="23"/>
      <c r="C15" s="23"/>
      <c r="D15" s="23"/>
      <c r="E15" s="23"/>
      <c r="F15" s="64"/>
      <c r="G15" s="7"/>
      <c r="H15" s="7"/>
      <c r="I15" s="64"/>
      <c r="J15" s="23"/>
      <c r="K1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92" t="n">
        <f aca="false">IF(ResourceTable[[#This Row],[Focus %]]="",FocusFactor,N(ResourceTable[[#This Row],[Focus %]]))</f>
        <v>0.8</v>
      </c>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row>
    <row r="16" customFormat="false" ht="15" hidden="false" customHeight="false" outlineLevel="0" collapsed="false">
      <c r="B16" s="23"/>
      <c r="C16" s="23"/>
      <c r="D16" s="23"/>
      <c r="E16" s="23"/>
      <c r="F16" s="64"/>
      <c r="G16" s="7"/>
      <c r="H16" s="7"/>
      <c r="I16" s="64"/>
      <c r="J16" s="23"/>
      <c r="K1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92" t="n">
        <f aca="false">IF(ResourceTable[[#This Row],[Focus %]]="",FocusFactor,N(ResourceTable[[#This Row],[Focus %]]))</f>
        <v>0.8</v>
      </c>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row>
    <row r="17" customFormat="false" ht="15" hidden="false" customHeight="false" outlineLevel="0" collapsed="false">
      <c r="B17" s="23"/>
      <c r="C17" s="23"/>
      <c r="D17" s="23"/>
      <c r="E17" s="23"/>
      <c r="F17" s="64"/>
      <c r="G17" s="7"/>
      <c r="H17" s="7"/>
      <c r="I17" s="64"/>
      <c r="J17" s="23"/>
      <c r="K1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92" t="n">
        <f aca="false">IF(ResourceTable[[#This Row],[Focus %]]="",FocusFactor,N(ResourceTable[[#This Row],[Focus %]]))</f>
        <v>0.8</v>
      </c>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row>
    <row r="18" customFormat="false" ht="15" hidden="false" customHeight="false" outlineLevel="0" collapsed="false">
      <c r="B18" s="23"/>
      <c r="C18" s="23"/>
      <c r="D18" s="23"/>
      <c r="E18" s="23"/>
      <c r="F18" s="64"/>
      <c r="G18" s="7"/>
      <c r="H18" s="7"/>
      <c r="I18" s="64"/>
      <c r="J18" s="23"/>
      <c r="K1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92" t="n">
        <f aca="false">IF(ResourceTable[[#This Row],[Focus %]]="",FocusFactor,N(ResourceTable[[#This Row],[Focus %]]))</f>
        <v>0.8</v>
      </c>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row>
    <row r="19" customFormat="false" ht="15" hidden="false" customHeight="false" outlineLevel="0" collapsed="false">
      <c r="B19" s="23"/>
      <c r="C19" s="23"/>
      <c r="D19" s="23"/>
      <c r="E19" s="23"/>
      <c r="F19" s="64"/>
      <c r="G19" s="7"/>
      <c r="H19" s="7"/>
      <c r="I19" s="64"/>
      <c r="J19" s="23"/>
      <c r="K1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92" t="n">
        <f aca="false">IF(ResourceTable[[#This Row],[Focus %]]="",FocusFactor,N(ResourceTable[[#This Row],[Focus %]]))</f>
        <v>0.8</v>
      </c>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row>
    <row r="20" customFormat="false" ht="15" hidden="false" customHeight="false" outlineLevel="0" collapsed="false">
      <c r="B20" s="23"/>
      <c r="C20" s="23"/>
      <c r="D20" s="23"/>
      <c r="E20" s="23"/>
      <c r="F20" s="64"/>
      <c r="G20" s="7"/>
      <c r="H20" s="7"/>
      <c r="I20" s="64"/>
      <c r="J20" s="23"/>
      <c r="K2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92" t="n">
        <f aca="false">IF(ResourceTable[[#This Row],[Focus %]]="",FocusFactor,N(ResourceTable[[#This Row],[Focus %]]))</f>
        <v>0.8</v>
      </c>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row>
    <row r="21" customFormat="false" ht="15" hidden="false" customHeight="false" outlineLevel="0" collapsed="false">
      <c r="B21" s="23"/>
      <c r="C21" s="23"/>
      <c r="D21" s="23"/>
      <c r="E21" s="23"/>
      <c r="F21" s="64"/>
      <c r="G21" s="7"/>
      <c r="H21" s="7"/>
      <c r="I21" s="64"/>
      <c r="J21" s="23"/>
      <c r="K2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92" t="n">
        <f aca="false">IF(ResourceTable[[#This Row],[Focus %]]="",FocusFactor,N(ResourceTable[[#This Row],[Focus %]]))</f>
        <v>0.8</v>
      </c>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row>
    <row r="22" customFormat="false" ht="15" hidden="false" customHeight="false" outlineLevel="0" collapsed="false">
      <c r="B22" s="23"/>
      <c r="C22" s="23"/>
      <c r="D22" s="23"/>
      <c r="E22" s="23"/>
      <c r="F22" s="64"/>
      <c r="G22" s="7"/>
      <c r="H22" s="7"/>
      <c r="I22" s="64"/>
      <c r="J22" s="23"/>
      <c r="K2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92" t="n">
        <f aca="false">IF(ResourceTable[[#This Row],[Focus %]]="",FocusFactor,N(ResourceTable[[#This Row],[Focus %]]))</f>
        <v>0.8</v>
      </c>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row>
    <row r="23" customFormat="false" ht="15" hidden="false" customHeight="false" outlineLevel="0" collapsed="false">
      <c r="B23" s="23"/>
      <c r="C23" s="23"/>
      <c r="D23" s="23"/>
      <c r="E23" s="23"/>
      <c r="F23" s="64"/>
      <c r="G23" s="7"/>
      <c r="H23" s="7"/>
      <c r="I23" s="64"/>
      <c r="J23" s="23"/>
      <c r="K2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92" t="n">
        <f aca="false">IF(ResourceTable[[#This Row],[Focus %]]="",FocusFactor,N(ResourceTable[[#This Row],[Focus %]]))</f>
        <v>0.8</v>
      </c>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row>
    <row r="24" customFormat="false" ht="15" hidden="false" customHeight="false" outlineLevel="0" collapsed="false">
      <c r="B24" s="23"/>
      <c r="C24" s="23"/>
      <c r="D24" s="23"/>
      <c r="E24" s="23"/>
      <c r="F24" s="64"/>
      <c r="G24" s="7"/>
      <c r="H24" s="7"/>
      <c r="I24" s="64"/>
      <c r="J24" s="23"/>
      <c r="K2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92" t="n">
        <f aca="false">IF(ResourceTable[[#This Row],[Focus %]]="",FocusFactor,N(ResourceTable[[#This Row],[Focus %]]))</f>
        <v>0.8</v>
      </c>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row>
    <row r="25" customFormat="false" ht="15" hidden="false" customHeight="false" outlineLevel="0" collapsed="false">
      <c r="B25" s="23"/>
      <c r="C25" s="23"/>
      <c r="D25" s="23"/>
      <c r="E25" s="23"/>
      <c r="F25" s="64"/>
      <c r="G25" s="7"/>
      <c r="H25" s="7"/>
      <c r="I25" s="64"/>
      <c r="J25" s="23"/>
      <c r="K2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92" t="n">
        <f aca="false">IF(ResourceTable[[#This Row],[Focus %]]="",FocusFactor,N(ResourceTable[[#This Row],[Focus %]]))</f>
        <v>0.8</v>
      </c>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row>
    <row r="26" customFormat="false" ht="15" hidden="false" customHeight="false" outlineLevel="0" collapsed="false">
      <c r="B26" s="23"/>
      <c r="C26" s="23"/>
      <c r="D26" s="23"/>
      <c r="E26" s="23"/>
      <c r="F26" s="64"/>
      <c r="G26" s="7"/>
      <c r="H26" s="7"/>
      <c r="I26" s="64"/>
      <c r="J26" s="23"/>
      <c r="K2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92" t="n">
        <f aca="false">IF(ResourceTable[[#This Row],[Focus %]]="",FocusFactor,N(ResourceTable[[#This Row],[Focus %]]))</f>
        <v>0.8</v>
      </c>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row>
    <row r="27" customFormat="false" ht="15" hidden="false" customHeight="false" outlineLevel="0" collapsed="false">
      <c r="B27" s="23"/>
      <c r="C27" s="23"/>
      <c r="D27" s="23"/>
      <c r="E27" s="23"/>
      <c r="F27" s="64"/>
      <c r="G27" s="7"/>
      <c r="H27" s="7"/>
      <c r="I27" s="64"/>
      <c r="J27" s="23"/>
      <c r="K2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92" t="n">
        <f aca="false">IF(ResourceTable[[#This Row],[Focus %]]="",FocusFactor,N(ResourceTable[[#This Row],[Focus %]]))</f>
        <v>0.8</v>
      </c>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row>
    <row r="28" customFormat="false" ht="15" hidden="false" customHeight="false" outlineLevel="0" collapsed="false">
      <c r="B28" s="23"/>
      <c r="C28" s="23"/>
      <c r="D28" s="23"/>
      <c r="E28" s="23"/>
      <c r="F28" s="64"/>
      <c r="G28" s="7"/>
      <c r="H28" s="7"/>
      <c r="I28" s="64"/>
      <c r="J28" s="23"/>
      <c r="K2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92" t="n">
        <f aca="false">IF(ResourceTable[[#This Row],[Focus %]]="",FocusFactor,N(ResourceTable[[#This Row],[Focus %]]))</f>
        <v>0.8</v>
      </c>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row>
    <row r="29" customFormat="false" ht="15" hidden="false" customHeight="false" outlineLevel="0" collapsed="false">
      <c r="B29" s="23"/>
      <c r="C29" s="23"/>
      <c r="D29" s="23"/>
      <c r="E29" s="23"/>
      <c r="F29" s="64"/>
      <c r="G29" s="7"/>
      <c r="H29" s="7"/>
      <c r="I29" s="64"/>
      <c r="J29" s="23"/>
      <c r="K2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92" t="n">
        <f aca="false">IF(ResourceTable[[#This Row],[Focus %]]="",FocusFactor,N(ResourceTable[[#This Row],[Focus %]]))</f>
        <v>0.8</v>
      </c>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row>
    <row r="30" customFormat="false" ht="15" hidden="false" customHeight="false" outlineLevel="0" collapsed="false">
      <c r="B30" s="23"/>
      <c r="C30" s="23"/>
      <c r="D30" s="23"/>
      <c r="E30" s="23"/>
      <c r="F30" s="64"/>
      <c r="G30" s="7"/>
      <c r="H30" s="7"/>
      <c r="I30" s="64"/>
      <c r="J30" s="23"/>
      <c r="K3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92" t="n">
        <f aca="false">IF(ResourceTable[[#This Row],[Focus %]]="",FocusFactor,N(ResourceTable[[#This Row],[Focus %]]))</f>
        <v>0.8</v>
      </c>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row>
    <row r="31" customFormat="false" ht="15" hidden="false" customHeight="false" outlineLevel="0" collapsed="false">
      <c r="B31" s="23"/>
      <c r="C31" s="23"/>
      <c r="D31" s="23"/>
      <c r="E31" s="23"/>
      <c r="F31" s="64"/>
      <c r="G31" s="7"/>
      <c r="H31" s="7"/>
      <c r="I31" s="64"/>
      <c r="J31" s="23"/>
      <c r="K3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92" t="n">
        <f aca="false">IF(ResourceTable[[#This Row],[Focus %]]="",FocusFactor,N(ResourceTable[[#This Row],[Focus %]]))</f>
        <v>0.8</v>
      </c>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row>
    <row r="32" customFormat="false" ht="15" hidden="false" customHeight="false" outlineLevel="0" collapsed="false">
      <c r="B32" s="23"/>
      <c r="C32" s="23"/>
      <c r="D32" s="23"/>
      <c r="E32" s="23"/>
      <c r="F32" s="64"/>
      <c r="G32" s="7"/>
      <c r="H32" s="7"/>
      <c r="I32" s="64"/>
      <c r="J32" s="23"/>
      <c r="K3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92" t="n">
        <f aca="false">IF(ResourceTable[[#This Row],[Focus %]]="",FocusFactor,N(ResourceTable[[#This Row],[Focus %]]))</f>
        <v>0.8</v>
      </c>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row>
    <row r="33" customFormat="false" ht="15" hidden="false" customHeight="false" outlineLevel="0" collapsed="false">
      <c r="B33" s="23"/>
      <c r="C33" s="23"/>
      <c r="D33" s="23"/>
      <c r="E33" s="23"/>
      <c r="F33" s="64"/>
      <c r="G33" s="7"/>
      <c r="H33" s="7"/>
      <c r="I33" s="64"/>
      <c r="J33" s="23"/>
      <c r="K3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92" t="n">
        <f aca="false">IF(ResourceTable[[#This Row],[Focus %]]="",FocusFactor,N(ResourceTable[[#This Row],[Focus %]]))</f>
        <v>0.8</v>
      </c>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row>
    <row r="34" customFormat="false" ht="15" hidden="false" customHeight="false" outlineLevel="0" collapsed="false">
      <c r="B34" s="23"/>
      <c r="C34" s="23"/>
      <c r="D34" s="23"/>
      <c r="E34" s="23"/>
      <c r="F34" s="64"/>
      <c r="G34" s="7"/>
      <c r="H34" s="7"/>
      <c r="I34" s="64"/>
      <c r="J34" s="23"/>
      <c r="K3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92" t="n">
        <f aca="false">IF(ResourceTable[[#This Row],[Focus %]]="",FocusFactor,N(ResourceTable[[#This Row],[Focus %]]))</f>
        <v>0.8</v>
      </c>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row>
    <row r="35" customFormat="false" ht="15" hidden="false" customHeight="false" outlineLevel="0" collapsed="false">
      <c r="B35" s="23"/>
      <c r="C35" s="23"/>
      <c r="D35" s="23"/>
      <c r="E35" s="23"/>
      <c r="F35" s="64"/>
      <c r="G35" s="7"/>
      <c r="H35" s="7"/>
      <c r="I35" s="64"/>
      <c r="J35" s="23"/>
      <c r="K3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92" t="n">
        <f aca="false">IF(ResourceTable[[#This Row],[Focus %]]="",FocusFactor,N(ResourceTable[[#This Row],[Focus %]]))</f>
        <v>0.8</v>
      </c>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row>
    <row r="36" customFormat="false" ht="15" hidden="false" customHeight="false" outlineLevel="0" collapsed="false">
      <c r="B36" s="23"/>
      <c r="C36" s="23"/>
      <c r="D36" s="23"/>
      <c r="E36" s="23"/>
      <c r="F36" s="64"/>
      <c r="G36" s="7"/>
      <c r="H36" s="7"/>
      <c r="I36" s="64"/>
      <c r="J36" s="23"/>
      <c r="K3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92" t="n">
        <f aca="false">IF(ResourceTable[[#This Row],[Focus %]]="",FocusFactor,N(ResourceTable[[#This Row],[Focus %]]))</f>
        <v>0.8</v>
      </c>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row>
    <row r="37" customFormat="false" ht="15" hidden="false" customHeight="false" outlineLevel="0" collapsed="false">
      <c r="B37" s="23"/>
      <c r="C37" s="23"/>
      <c r="D37" s="23"/>
      <c r="E37" s="23"/>
      <c r="F37" s="64"/>
      <c r="G37" s="7"/>
      <c r="H37" s="7"/>
      <c r="I37" s="64"/>
      <c r="J37" s="23"/>
      <c r="K3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92" t="n">
        <f aca="false">IF(ResourceTable[[#This Row],[Focus %]]="",FocusFactor,N(ResourceTable[[#This Row],[Focus %]]))</f>
        <v>0.8</v>
      </c>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row>
    <row r="38" customFormat="false" ht="15" hidden="false" customHeight="false" outlineLevel="0" collapsed="false">
      <c r="B38" s="23"/>
      <c r="C38" s="23"/>
      <c r="D38" s="23"/>
      <c r="E38" s="23"/>
      <c r="F38" s="64"/>
      <c r="G38" s="7"/>
      <c r="H38" s="7"/>
      <c r="I38" s="64"/>
      <c r="J38" s="23"/>
      <c r="K3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92" t="n">
        <f aca="false">IF(ResourceTable[[#This Row],[Focus %]]="",FocusFactor,N(ResourceTable[[#This Row],[Focus %]]))</f>
        <v>0.8</v>
      </c>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row>
    <row r="39" customFormat="false" ht="15" hidden="false" customHeight="false" outlineLevel="0" collapsed="false">
      <c r="B39" s="23"/>
      <c r="C39" s="23"/>
      <c r="D39" s="23"/>
      <c r="E39" s="23"/>
      <c r="F39" s="64"/>
      <c r="G39" s="7"/>
      <c r="H39" s="7"/>
      <c r="I39" s="64"/>
      <c r="J39" s="23"/>
      <c r="K3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92" t="n">
        <f aca="false">IF(ResourceTable[[#This Row],[Focus %]]="",FocusFactor,N(ResourceTable[[#This Row],[Focus %]]))</f>
        <v>0.8</v>
      </c>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row>
    <row r="40" customFormat="false" ht="15" hidden="false" customHeight="false" outlineLevel="0" collapsed="false">
      <c r="B40" s="23"/>
      <c r="C40" s="23"/>
      <c r="D40" s="23"/>
      <c r="E40" s="23"/>
      <c r="F40" s="64"/>
      <c r="G40" s="7"/>
      <c r="H40" s="7"/>
      <c r="I40" s="64"/>
      <c r="J40" s="23"/>
      <c r="K4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92" t="n">
        <f aca="false">IF(ResourceTable[[#This Row],[Focus %]]="",FocusFactor,N(ResourceTable[[#This Row],[Focus %]]))</f>
        <v>0.8</v>
      </c>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row>
    <row r="41" customFormat="false" ht="15" hidden="false" customHeight="false" outlineLevel="0" collapsed="false">
      <c r="B41" s="23"/>
      <c r="C41" s="23"/>
      <c r="D41" s="23"/>
      <c r="E41" s="23"/>
      <c r="F41" s="64"/>
      <c r="G41" s="7"/>
      <c r="H41" s="7"/>
      <c r="I41" s="64"/>
      <c r="J41" s="23"/>
      <c r="K4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92" t="n">
        <f aca="false">IF(ResourceTable[[#This Row],[Focus %]]="",FocusFactor,N(ResourceTable[[#This Row],[Focus %]]))</f>
        <v>0.8</v>
      </c>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row>
    <row r="42" customFormat="false" ht="15" hidden="false" customHeight="false" outlineLevel="0" collapsed="false">
      <c r="B42" s="23"/>
      <c r="C42" s="23"/>
      <c r="D42" s="23"/>
      <c r="E42" s="23"/>
      <c r="F42" s="64"/>
      <c r="G42" s="7"/>
      <c r="H42" s="7"/>
      <c r="I42" s="64"/>
      <c r="J42" s="23"/>
      <c r="K4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92" t="n">
        <f aca="false">IF(ResourceTable[[#This Row],[Focus %]]="",FocusFactor,N(ResourceTable[[#This Row],[Focus %]]))</f>
        <v>0.8</v>
      </c>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row>
    <row r="43" customFormat="false" ht="15" hidden="false" customHeight="false" outlineLevel="0" collapsed="false">
      <c r="B43" s="23"/>
      <c r="C43" s="23"/>
      <c r="D43" s="23"/>
      <c r="E43" s="23"/>
      <c r="F43" s="64"/>
      <c r="G43" s="7"/>
      <c r="H43" s="7"/>
      <c r="I43" s="64"/>
      <c r="J43" s="23"/>
      <c r="K4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92" t="n">
        <f aca="false">IF(ResourceTable[[#This Row],[Focus %]]="",FocusFactor,N(ResourceTable[[#This Row],[Focus %]]))</f>
        <v>0.8</v>
      </c>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row>
    <row r="44" customFormat="false" ht="15" hidden="false" customHeight="false" outlineLevel="0" collapsed="false">
      <c r="B44" s="23"/>
      <c r="C44" s="23"/>
      <c r="D44" s="23"/>
      <c r="E44" s="23"/>
      <c r="F44" s="64"/>
      <c r="G44" s="7"/>
      <c r="H44" s="7"/>
      <c r="I44" s="64"/>
      <c r="J44" s="23"/>
      <c r="K4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92" t="n">
        <f aca="false">IF(ResourceTable[[#This Row],[Focus %]]="",FocusFactor,N(ResourceTable[[#This Row],[Focus %]]))</f>
        <v>0.8</v>
      </c>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row>
    <row r="45" customFormat="false" ht="15" hidden="false" customHeight="false" outlineLevel="0" collapsed="false">
      <c r="B45" s="23"/>
      <c r="C45" s="23"/>
      <c r="D45" s="23"/>
      <c r="E45" s="23"/>
      <c r="F45" s="64"/>
      <c r="G45" s="7"/>
      <c r="H45" s="7"/>
      <c r="I45" s="64"/>
      <c r="J45" s="23"/>
      <c r="K4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92" t="n">
        <f aca="false">IF(ResourceTable[[#This Row],[Focus %]]="",FocusFactor,N(ResourceTable[[#This Row],[Focus %]]))</f>
        <v>0.8</v>
      </c>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row>
    <row r="46" customFormat="false" ht="15" hidden="false" customHeight="false" outlineLevel="0" collapsed="false">
      <c r="B46" s="23"/>
      <c r="C46" s="23"/>
      <c r="D46" s="23"/>
      <c r="E46" s="23"/>
      <c r="F46" s="64"/>
      <c r="G46" s="7"/>
      <c r="H46" s="7"/>
      <c r="I46" s="64"/>
      <c r="J46" s="23"/>
      <c r="K4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92" t="n">
        <f aca="false">IF(ResourceTable[[#This Row],[Focus %]]="",FocusFactor,N(ResourceTable[[#This Row],[Focus %]]))</f>
        <v>0.8</v>
      </c>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row>
    <row r="47" customFormat="false" ht="15" hidden="false" customHeight="false" outlineLevel="0" collapsed="false">
      <c r="B47" s="23"/>
      <c r="C47" s="23"/>
      <c r="D47" s="23"/>
      <c r="E47" s="23"/>
      <c r="F47" s="64"/>
      <c r="G47" s="7"/>
      <c r="H47" s="7"/>
      <c r="I47" s="64"/>
      <c r="J47" s="23"/>
      <c r="K4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92" t="n">
        <f aca="false">IF(ResourceTable[[#This Row],[Focus %]]="",FocusFactor,N(ResourceTable[[#This Row],[Focus %]]))</f>
        <v>0.8</v>
      </c>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row>
    <row r="48" customFormat="false" ht="15" hidden="false" customHeight="false" outlineLevel="0" collapsed="false">
      <c r="B48" s="23"/>
      <c r="C48" s="23"/>
      <c r="D48" s="23"/>
      <c r="E48" s="23"/>
      <c r="F48" s="64"/>
      <c r="G48" s="7"/>
      <c r="H48" s="7"/>
      <c r="I48" s="64"/>
      <c r="J48" s="23"/>
      <c r="K4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92" t="n">
        <f aca="false">IF(ResourceTable[[#This Row],[Focus %]]="",FocusFactor,N(ResourceTable[[#This Row],[Focus %]]))</f>
        <v>0.8</v>
      </c>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row>
    <row r="49" customFormat="false" ht="15" hidden="false" customHeight="false" outlineLevel="0" collapsed="false">
      <c r="B49" s="23"/>
      <c r="C49" s="23"/>
      <c r="D49" s="23"/>
      <c r="E49" s="23"/>
      <c r="F49" s="64"/>
      <c r="G49" s="7"/>
      <c r="H49" s="7"/>
      <c r="I49" s="64"/>
      <c r="J49" s="23"/>
      <c r="K4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92" t="n">
        <f aca="false">IF(ResourceTable[[#This Row],[Focus %]]="",FocusFactor,N(ResourceTable[[#This Row],[Focus %]]))</f>
        <v>0.8</v>
      </c>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row>
    <row r="50" customFormat="false" ht="15" hidden="false" customHeight="false" outlineLevel="0" collapsed="false">
      <c r="B50" s="23"/>
      <c r="C50" s="23"/>
      <c r="D50" s="23"/>
      <c r="E50" s="23"/>
      <c r="F50" s="64"/>
      <c r="G50" s="7"/>
      <c r="H50" s="7"/>
      <c r="I50" s="64"/>
      <c r="J50" s="23"/>
      <c r="K5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92" t="n">
        <f aca="false">IF(ResourceTable[[#This Row],[Focus %]]="",FocusFactor,N(ResourceTable[[#This Row],[Focus %]]))</f>
        <v>0.8</v>
      </c>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row>
    <row r="51" customFormat="false" ht="15" hidden="false" customHeight="false" outlineLevel="0" collapsed="false">
      <c r="B51" s="23"/>
      <c r="C51" s="23"/>
      <c r="D51" s="23"/>
      <c r="E51" s="23"/>
      <c r="F51" s="64"/>
      <c r="G51" s="7"/>
      <c r="H51" s="7"/>
      <c r="I51" s="64"/>
      <c r="J51" s="23"/>
      <c r="K5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92" t="n">
        <f aca="false">IF(ResourceTable[[#This Row],[Focus %]]="",FocusFactor,N(ResourceTable[[#This Row],[Focus %]]))</f>
        <v>0.8</v>
      </c>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row>
    <row r="52" customFormat="false" ht="15" hidden="false" customHeight="false" outlineLevel="0" collapsed="false">
      <c r="B52" s="23"/>
      <c r="C52" s="23"/>
      <c r="D52" s="23"/>
      <c r="E52" s="23"/>
      <c r="F52" s="64"/>
      <c r="G52" s="7"/>
      <c r="H52" s="7"/>
      <c r="I52" s="64"/>
      <c r="J52" s="23"/>
      <c r="K5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92" t="n">
        <f aca="false">IF(ResourceTable[[#This Row],[Focus %]]="",FocusFactor,N(ResourceTable[[#This Row],[Focus %]]))</f>
        <v>0.8</v>
      </c>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row>
    <row r="53" customFormat="false" ht="15" hidden="false" customHeight="false" outlineLevel="0" collapsed="false">
      <c r="B53" s="23"/>
      <c r="C53" s="23"/>
      <c r="D53" s="23"/>
      <c r="E53" s="23"/>
      <c r="F53" s="64"/>
      <c r="G53" s="7"/>
      <c r="H53" s="7"/>
      <c r="I53" s="64"/>
      <c r="J53" s="23"/>
      <c r="K5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92" t="n">
        <f aca="false">IF(ResourceTable[[#This Row],[Focus %]]="",FocusFactor,N(ResourceTable[[#This Row],[Focus %]]))</f>
        <v>0.8</v>
      </c>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row>
    <row r="54" customFormat="false" ht="15" hidden="false" customHeight="false" outlineLevel="0" collapsed="false">
      <c r="B54" s="23"/>
      <c r="C54" s="23"/>
      <c r="D54" s="23"/>
      <c r="E54" s="23"/>
      <c r="F54" s="64"/>
      <c r="G54" s="7"/>
      <c r="H54" s="7"/>
      <c r="I54" s="64"/>
      <c r="J54" s="23"/>
      <c r="K5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92" t="n">
        <f aca="false">IF(ResourceTable[[#This Row],[Focus %]]="",FocusFactor,N(ResourceTable[[#This Row],[Focus %]]))</f>
        <v>0.8</v>
      </c>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row>
    <row r="55" customFormat="false" ht="15" hidden="false" customHeight="false" outlineLevel="0" collapsed="false">
      <c r="B55" s="23"/>
      <c r="C55" s="23"/>
      <c r="D55" s="23"/>
      <c r="E55" s="23"/>
      <c r="F55" s="64"/>
      <c r="G55" s="7"/>
      <c r="H55" s="7"/>
      <c r="I55" s="64"/>
      <c r="J55" s="23"/>
      <c r="K5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92" t="n">
        <f aca="false">IF(ResourceTable[[#This Row],[Focus %]]="",FocusFactor,N(ResourceTable[[#This Row],[Focus %]]))</f>
        <v>0.8</v>
      </c>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row>
    <row r="58" customFormat="false" ht="15" hidden="false" customHeight="false" outlineLevel="0" collapsed="false">
      <c r="B58" s="28" t="s">
        <v>703</v>
      </c>
    </row>
    <row r="60" customFormat="false" ht="35.05" hidden="false" customHeight="false" outlineLevel="0" collapsed="false">
      <c r="B60" s="18" t="s">
        <v>704</v>
      </c>
      <c r="C60" s="18" t="s">
        <v>705</v>
      </c>
      <c r="D60" s="18" t="s">
        <v>706</v>
      </c>
      <c r="E60" s="18" t="s">
        <v>707</v>
      </c>
      <c r="F60" s="18" t="s">
        <v>708</v>
      </c>
      <c r="G60" s="18" t="s">
        <v>709</v>
      </c>
      <c r="H60" s="18" t="s">
        <v>710</v>
      </c>
      <c r="I60" s="18" t="s">
        <v>711</v>
      </c>
      <c r="J60" s="18" t="s">
        <v>712</v>
      </c>
      <c r="K60" s="18" t="s">
        <v>713</v>
      </c>
      <c r="L60" s="18" t="s">
        <v>714</v>
      </c>
      <c r="M60" s="18" t="s">
        <v>715</v>
      </c>
      <c r="N60" s="18" t="s">
        <v>716</v>
      </c>
      <c r="O60" s="18" t="s">
        <v>717</v>
      </c>
      <c r="P60" s="18" t="s">
        <v>718</v>
      </c>
      <c r="Q60" s="18" t="s">
        <v>719</v>
      </c>
      <c r="R60" s="18" t="s">
        <v>720</v>
      </c>
      <c r="S60" s="18" t="s">
        <v>721</v>
      </c>
      <c r="T60" s="18" t="s">
        <v>722</v>
      </c>
      <c r="U60" s="18" t="s">
        <v>723</v>
      </c>
      <c r="V60" s="18" t="s">
        <v>724</v>
      </c>
      <c r="W60" s="18" t="s">
        <v>725</v>
      </c>
      <c r="X60" s="18" t="s">
        <v>726</v>
      </c>
      <c r="Y60" s="18" t="s">
        <v>727</v>
      </c>
      <c r="Z60" s="18" t="s">
        <v>728</v>
      </c>
      <c r="AA60" s="18" t="s">
        <v>729</v>
      </c>
      <c r="AB60" s="18" t="s">
        <v>730</v>
      </c>
      <c r="AC60" s="18" t="s">
        <v>731</v>
      </c>
      <c r="AD60" s="18" t="s">
        <v>732</v>
      </c>
      <c r="AE60" s="18" t="s">
        <v>733</v>
      </c>
      <c r="AF60" s="18" t="s">
        <v>734</v>
      </c>
      <c r="AG60" s="18" t="s">
        <v>735</v>
      </c>
      <c r="AH60" s="18" t="s">
        <v>736</v>
      </c>
      <c r="AI60" s="17" t="s">
        <v>737</v>
      </c>
      <c r="AJ60" s="17" t="s">
        <v>738</v>
      </c>
      <c r="AK60" s="41" t="s">
        <v>739</v>
      </c>
      <c r="AL60" s="41" t="s">
        <v>740</v>
      </c>
    </row>
    <row r="61" customFormat="false" ht="15" hidden="false" customHeight="false" outlineLevel="0" collapsed="false">
      <c r="B61" s="23" t="s">
        <v>619</v>
      </c>
      <c r="C61" s="23" t="s">
        <v>652</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t="str">
        <f aca="false">LeaveDays[[#This Row],[Resource]]&amp;"|"&amp;LeaveDays[[#This Row],[Month]]</f>
        <v>Casey Kim|Nov-26</v>
      </c>
      <c r="AL6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ustomFormat="false" ht="15" hidden="false" customHeight="false" outlineLevel="0" collapsed="false">
      <c r="B62" s="23" t="s">
        <v>692</v>
      </c>
      <c r="C62" s="23" t="s">
        <v>651</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t="str">
        <f aca="false">LeaveDays[[#This Row],[Resource]]&amp;"|"&amp;LeaveDays[[#This Row],[Month]]</f>
        <v>Jordan Lee|Oct-26</v>
      </c>
      <c r="AL6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ustomFormat="false" ht="15" hidden="false" customHeight="false" outlineLevel="0" collapsed="false">
      <c r="B63" s="23" t="s">
        <v>692</v>
      </c>
      <c r="C63" s="23" t="s">
        <v>653</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t="str">
        <f aca="false">LeaveDays[[#This Row],[Resource]]&amp;"|"&amp;LeaveDays[[#This Row],[Month]]</f>
        <v>Jordan Lee|Dec-26</v>
      </c>
      <c r="AL6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t="str">
        <f aca="false">LeaveDays[[#This Row],[Resource]]&amp;"|"&amp;LeaveDays[[#This Row],[Month]]</f>
        <v>|</v>
      </c>
      <c r="AL6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t="str">
        <f aca="false">LeaveDays[[#This Row],[Resource]]&amp;"|"&amp;LeaveDays[[#This Row],[Month]]</f>
        <v>|</v>
      </c>
      <c r="AL6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t="str">
        <f aca="false">LeaveDays[[#This Row],[Resource]]&amp;"|"&amp;LeaveDays[[#This Row],[Month]]</f>
        <v>|</v>
      </c>
      <c r="AL6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t="str">
        <f aca="false">LeaveDays[[#This Row],[Resource]]&amp;"|"&amp;LeaveDays[[#This Row],[Month]]</f>
        <v>|</v>
      </c>
      <c r="AL6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t="str">
        <f aca="false">LeaveDays[[#This Row],[Resource]]&amp;"|"&amp;LeaveDays[[#This Row],[Month]]</f>
        <v>|</v>
      </c>
      <c r="AL6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t="str">
        <f aca="false">LeaveDays[[#This Row],[Resource]]&amp;"|"&amp;LeaveDays[[#This Row],[Month]]</f>
        <v>|</v>
      </c>
      <c r="AL6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t="str">
        <f aca="false">LeaveDays[[#This Row],[Resource]]&amp;"|"&amp;LeaveDays[[#This Row],[Month]]</f>
        <v>|</v>
      </c>
      <c r="AL7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t="str">
        <f aca="false">LeaveDays[[#This Row],[Resource]]&amp;"|"&amp;LeaveDays[[#This Row],[Month]]</f>
        <v>|</v>
      </c>
      <c r="AL7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t="str">
        <f aca="false">LeaveDays[[#This Row],[Resource]]&amp;"|"&amp;LeaveDays[[#This Row],[Month]]</f>
        <v>|</v>
      </c>
      <c r="AL7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t="str">
        <f aca="false">LeaveDays[[#This Row],[Resource]]&amp;"|"&amp;LeaveDays[[#This Row],[Month]]</f>
        <v>|</v>
      </c>
      <c r="AL7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t="str">
        <f aca="false">LeaveDays[[#This Row],[Resource]]&amp;"|"&amp;LeaveDays[[#This Row],[Month]]</f>
        <v>|</v>
      </c>
      <c r="AL7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t="str">
        <f aca="false">LeaveDays[[#This Row],[Resource]]&amp;"|"&amp;LeaveDays[[#This Row],[Month]]</f>
        <v>|</v>
      </c>
      <c r="AL7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t="str">
        <f aca="false">LeaveDays[[#This Row],[Resource]]&amp;"|"&amp;LeaveDays[[#This Row],[Month]]</f>
        <v>|</v>
      </c>
      <c r="AL7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t="str">
        <f aca="false">LeaveDays[[#This Row],[Resource]]&amp;"|"&amp;LeaveDays[[#This Row],[Month]]</f>
        <v>|</v>
      </c>
      <c r="AL7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t="str">
        <f aca="false">LeaveDays[[#This Row],[Resource]]&amp;"|"&amp;LeaveDays[[#This Row],[Month]]</f>
        <v>|</v>
      </c>
      <c r="AL7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t="str">
        <f aca="false">LeaveDays[[#This Row],[Resource]]&amp;"|"&amp;LeaveDays[[#This Row],[Month]]</f>
        <v>|</v>
      </c>
      <c r="AL7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t="str">
        <f aca="false">LeaveDays[[#This Row],[Resource]]&amp;"|"&amp;LeaveDays[[#This Row],[Month]]</f>
        <v>|</v>
      </c>
      <c r="AL8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t="str">
        <f aca="false">LeaveDays[[#This Row],[Resource]]&amp;"|"&amp;LeaveDays[[#This Row],[Month]]</f>
        <v>|</v>
      </c>
      <c r="AL8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t="str">
        <f aca="false">LeaveDays[[#This Row],[Resource]]&amp;"|"&amp;LeaveDays[[#This Row],[Month]]</f>
        <v>|</v>
      </c>
      <c r="AL8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t="str">
        <f aca="false">LeaveDays[[#This Row],[Resource]]&amp;"|"&amp;LeaveDays[[#This Row],[Month]]</f>
        <v>|</v>
      </c>
      <c r="AL8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t="str">
        <f aca="false">LeaveDays[[#This Row],[Resource]]&amp;"|"&amp;LeaveDays[[#This Row],[Month]]</f>
        <v>|</v>
      </c>
      <c r="AL8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t="str">
        <f aca="false">LeaveDays[[#This Row],[Resource]]&amp;"|"&amp;LeaveDays[[#This Row],[Month]]</f>
        <v>|</v>
      </c>
      <c r="AL8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t="str">
        <f aca="false">LeaveDays[[#This Row],[Resource]]&amp;"|"&amp;LeaveDays[[#This Row],[Month]]</f>
        <v>|</v>
      </c>
      <c r="AL8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t="str">
        <f aca="false">LeaveDays[[#This Row],[Resource]]&amp;"|"&amp;LeaveDays[[#This Row],[Month]]</f>
        <v>|</v>
      </c>
      <c r="AL8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t="str">
        <f aca="false">LeaveDays[[#This Row],[Resource]]&amp;"|"&amp;LeaveDays[[#This Row],[Month]]</f>
        <v>|</v>
      </c>
      <c r="AL8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t="str">
        <f aca="false">LeaveDays[[#This Row],[Resource]]&amp;"|"&amp;LeaveDays[[#This Row],[Month]]</f>
        <v>|</v>
      </c>
      <c r="AL8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t="str">
        <f aca="false">LeaveDays[[#This Row],[Resource]]&amp;"|"&amp;LeaveDays[[#This Row],[Month]]</f>
        <v>|</v>
      </c>
      <c r="AL9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t="str">
        <f aca="false">LeaveDays[[#This Row],[Resource]]&amp;"|"&amp;LeaveDays[[#This Row],[Month]]</f>
        <v>|</v>
      </c>
      <c r="AL9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t="str">
        <f aca="false">LeaveDays[[#This Row],[Resource]]&amp;"|"&amp;LeaveDays[[#This Row],[Month]]</f>
        <v>|</v>
      </c>
      <c r="AL9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t="str">
        <f aca="false">LeaveDays[[#This Row],[Resource]]&amp;"|"&amp;LeaveDays[[#This Row],[Month]]</f>
        <v>|</v>
      </c>
      <c r="AL9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t="str">
        <f aca="false">LeaveDays[[#This Row],[Resource]]&amp;"|"&amp;LeaveDays[[#This Row],[Month]]</f>
        <v>|</v>
      </c>
      <c r="AL9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t="str">
        <f aca="false">LeaveDays[[#This Row],[Resource]]&amp;"|"&amp;LeaveDays[[#This Row],[Month]]</f>
        <v>|</v>
      </c>
      <c r="AL9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t="str">
        <f aca="false">LeaveDays[[#This Row],[Resource]]&amp;"|"&amp;LeaveDays[[#This Row],[Month]]</f>
        <v>|</v>
      </c>
      <c r="AL9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t="str">
        <f aca="false">LeaveDays[[#This Row],[Resource]]&amp;"|"&amp;LeaveDays[[#This Row],[Month]]</f>
        <v>|</v>
      </c>
      <c r="AL9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t="str">
        <f aca="false">LeaveDays[[#This Row],[Resource]]&amp;"|"&amp;LeaveDays[[#This Row],[Month]]</f>
        <v>|</v>
      </c>
      <c r="AL9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t="str">
        <f aca="false">LeaveDays[[#This Row],[Resource]]&amp;"|"&amp;LeaveDays[[#This Row],[Month]]</f>
        <v>|</v>
      </c>
      <c r="AL9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t="str">
        <f aca="false">LeaveDays[[#This Row],[Resource]]&amp;"|"&amp;LeaveDays[[#This Row],[Month]]</f>
        <v>|</v>
      </c>
      <c r="AL10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2" aboveAverage="0" equalAverage="0" bottom="0" percent="0" rank="0" text="" dxfId="20">
      <formula>AJ61&lt;&gt;""</formula>
    </cfRule>
  </conditionalFormatting>
  <dataValidations count="4">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2026-01-01T00:00:00Z</dcterms:created>
  <dc:creator>openpyxl</dc:creator>
  <dc:description/>
  <dc:language>en-US</dc:language>
  <cp:lastModifiedBy/>
  <dcterms:modified xsi:type="dcterms:W3CDTF">2026-01-01T00:00:00Z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